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12.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1. ESRS Topic Overview" sheetId="2" r:id="rId5"/>
    <sheet state="visible" name="2. List of IROs" sheetId="3" r:id="rId6"/>
    <sheet state="visible" name="3. DMA Environmental" sheetId="4" r:id="rId7"/>
    <sheet state="visible" name="5. DMA Governance" sheetId="5" r:id="rId8"/>
    <sheet state="visible" name="4. DMA Social" sheetId="6" r:id="rId9"/>
    <sheet state="visible" name="6. Material Topics Overview" sheetId="7" r:id="rId10"/>
    <sheet state="visible" name="Data Validation" sheetId="8" r:id="rId11"/>
    <sheet state="hidden" name="Assignment Table" sheetId="9" r:id="rId12"/>
  </sheets>
  <definedNames/>
  <calcPr/>
</workbook>
</file>

<file path=xl/sharedStrings.xml><?xml version="1.0" encoding="utf-8"?>
<sst xmlns="http://schemas.openxmlformats.org/spreadsheetml/2006/main" count="526" uniqueCount="292">
  <si>
    <t>Double Materiality Matrix</t>
  </si>
  <si>
    <t>How to Use this Template</t>
  </si>
  <si>
    <t>The Double Materiality Matrix, created from the EU ESG Reporting Standards and from BOC Template, helps assess and report sustainability topics under ESRS. 
In the "ESRS Topic Overview" tab, you will find a structured list of environmental, social, and governance (ESG) topics, including sub-topics and sub-sub-topics (customizable). Use this as a reference to identify relevant sustainability aspects for your organization.
In the "List of IROs" tab, you can assign Impacts, Risks, and Opportunities (IROs) to selected topics using dropdown menus. These are automatically linked to the Double Materiality Assessment (DMA) sheets.
To evaluate materiality, go to the DMA Environmental, Social, and Governance sheets, where you can assess:
- Impact Type (Actual or Potential)
- Scale and Scope of the impact
- Likelihood and Impact Index
If a topic is deemed material, it will be highlighted in red in the "Material Topics Overview" tab, ensuring it is included in your ESRS reporting.</t>
  </si>
  <si>
    <t>Your strategic guide to identifying financial and impact materiality.</t>
  </si>
  <si>
    <t>Evaluate, prioritize, and communicate sustainability risks and opportunities with Double Materiality Matrix!</t>
  </si>
  <si>
    <t>Click to know more</t>
  </si>
  <si>
    <t>European Sustainability Standard (ESRS): Overview</t>
  </si>
  <si>
    <t>ESRS 2 General Disclosures: overview of the sustainability topics, sub-topics and sub-sub-topics</t>
  </si>
  <si>
    <r>
      <rPr>
        <rFont val="Figtree"/>
        <b/>
        <color theme="1"/>
        <sz val="11.0"/>
      </rPr>
      <t xml:space="preserve"> Note: </t>
    </r>
    <r>
      <rPr>
        <rFont val="Figtree"/>
        <color theme="1"/>
        <sz val="11.0"/>
      </rPr>
      <t xml:space="preserve">Preselect relevant ESRS topics based on a stakeholder dialog. Once you have identified these, simply move on to the next spreadsheet "List of IROS" where you can insert them.  </t>
    </r>
  </si>
  <si>
    <t>Topic</t>
  </si>
  <si>
    <t>Sub-topic</t>
  </si>
  <si>
    <t>Sub-sub-topic</t>
  </si>
  <si>
    <t>ENVIRONMENTAL</t>
  </si>
  <si>
    <t>E1 Climate change</t>
  </si>
  <si>
    <t>E1.1 Climate change adaptation</t>
  </si>
  <si>
    <t>Risk assessment; Resilience planning; Infrastructure adaptation; Early warning systems; Climate-resilient agriculture</t>
  </si>
  <si>
    <t>E1.2 Climate change mitigation</t>
  </si>
  <si>
    <t>Carbon neutrality strategies; Renewable energy adoption; Energy efficiency; Emission reduction technologies</t>
  </si>
  <si>
    <t>E1.3 Energy</t>
  </si>
  <si>
    <t>Renewable energy sources; Fossil fuel phase-out; Energy transition policies; Grid decarbonization; Hydrogen economy</t>
  </si>
  <si>
    <t>E2 Pollution</t>
  </si>
  <si>
    <t>E2.1 Pollution of air</t>
  </si>
  <si>
    <t>Greenhouse gases; Particulate matter (PM2.5, PM10); Nitrogen oxides (NOx); Sulfur dioxide (SO2); Volatile organic compounds (VOCs)</t>
  </si>
  <si>
    <t>E2.2 Pollution of water</t>
  </si>
  <si>
    <t>Industrial wastewater; Agricultural runoff; Oil spills; Heavy metal contamination; Microplastic contamination</t>
  </si>
  <si>
    <t>E2.3 Pollution of soil</t>
  </si>
  <si>
    <t>Pesticide residues; Heavy metal accumulation; Industrial contamination; Land degradation; Soil erosion</t>
  </si>
  <si>
    <t>E2.4 Pollution of living organisms and food resources</t>
  </si>
  <si>
    <t>Contaminated seafood; Pesticide bioaccumulation; Antibiotic resistance in livestock; Heavy metal toxicity in crops</t>
  </si>
  <si>
    <t>E2.5 Substances of concern</t>
  </si>
  <si>
    <t>Endocrine disruptors; Persistent organic pollutants (POPs); Heavy metals; Pharmaceutical pollutants</t>
  </si>
  <si>
    <t>E2.6 Substances of very high concern</t>
  </si>
  <si>
    <t>Carcinogenic substances; Mutagenic chemicals; Reproductive toxins; Per- and polyfluoroalkyl substances (PFAS)</t>
  </si>
  <si>
    <t>E2.7 Microplastics</t>
  </si>
  <si>
    <t>Primary microplastics; Secondary microplastics; Textile fiber pollution; Cosmetic microbeads; Nanoplastics</t>
  </si>
  <si>
    <t>E3 Water and marine resources</t>
  </si>
  <si>
    <t>E3.1 Water</t>
  </si>
  <si>
    <t>Water consumption; Water withdrawals; Water discharges; Water discharges in the oceans; Extraction and use of marine resources</t>
  </si>
  <si>
    <t>E3.2 Marine resources</t>
  </si>
  <si>
    <t>E4 Biodiversity and ecosystems</t>
  </si>
  <si>
    <t>E4.1 Direct impact drivers of biodiversity loss</t>
  </si>
  <si>
    <t>Climate Change; Land-use change, fresh water-use change and sea-use change; Direct exploitation; Invasive alien species; Pollution; Others</t>
  </si>
  <si>
    <t>E4.2 Impacts on the state of species</t>
  </si>
  <si>
    <t>Species population size; Species global extinction risk</t>
  </si>
  <si>
    <t>E4.3 Impacts on the extent and condition of ecosystems</t>
  </si>
  <si>
    <t>Land degradation; Desertification; Soil sealing</t>
  </si>
  <si>
    <t>E4.4 Impacts and dependencies on ecosystem services</t>
  </si>
  <si>
    <t>Pollination loss; Carbon sequestration reduction; Soil fertility decline; Fisheries collapse</t>
  </si>
  <si>
    <t>E5 Circular economy</t>
  </si>
  <si>
    <t>E5.1 Resources inflows, including resource use</t>
  </si>
  <si>
    <t>Sustainable sourcing; Renewable resource integration; Raw material efficiency; Resource conservation strategies</t>
  </si>
  <si>
    <t>E5.2 Resource outflows related to products and services</t>
  </si>
  <si>
    <t>Eco-design principles; Product life extension; Circular supply chains; Industrial symbiosis; Reuse strategies</t>
  </si>
  <si>
    <t>E5.3 Waste</t>
  </si>
  <si>
    <t>Waste prevention; Recycling and reuse; E-waste management; Organic waste processing; Hazardous waste disposal</t>
  </si>
  <si>
    <t>SOCIAL</t>
  </si>
  <si>
    <t>S1 Own workforce</t>
  </si>
  <si>
    <t>S1.1 Working conditions</t>
  </si>
  <si>
    <t>Secure employment; Working time; Adequate wages; Social dialogue; Freedom of association, the existence of works councils and the information, consultation and participation rights of workers; Collective bargaining, including rate of workers covered by collective agreements; Work-life balance; Health and safety</t>
  </si>
  <si>
    <t>S1.2 Equal treatment and opportunities for all</t>
  </si>
  <si>
    <t>Gender equality and equal pay for work of equal value; Training and skills development; Employment and inclusion of persons with disabilities; Measures against violence and harassment in the workplace; Diversity</t>
  </si>
  <si>
    <t>S1.3 Other work-related rights</t>
  </si>
  <si>
    <t>Child labour; Forced labour; Adequate housing; Privacy</t>
  </si>
  <si>
    <t>S2 Workers in the value chain</t>
  </si>
  <si>
    <t>S2.1 Working conditions</t>
  </si>
  <si>
    <t>Secure employment; Working time; Adequate wages; Social dialogue; Freedom of association, including the existence of work councils; Collective bargaining; Work-life balance; Health and safety</t>
  </si>
  <si>
    <t>S2.2 Equal treatment and opportunities for all</t>
  </si>
  <si>
    <t>Gender equality and equal pay for work of equal value; Training and skills development; The employment and inclusion of persons with disabilities; Measures against violence and harassment in the workplace; Diversity</t>
  </si>
  <si>
    <t>S2.3 Other work-related rights</t>
  </si>
  <si>
    <t>Child labour; Forced labour; Adequate housing; Water and sanitation; Privacy</t>
  </si>
  <si>
    <t>S3 Affected communities</t>
  </si>
  <si>
    <t>S3.1 Communities’ economic, social and cultural rights</t>
  </si>
  <si>
    <t>Adequate housing; Adequate food; Water and sanitation; Land-related impacts; Security-related impacts</t>
  </si>
  <si>
    <t>S3.2 Communities’ civil and political rights</t>
  </si>
  <si>
    <t>Freedom of expression; Freedom of assembly; Impacts on human rights defenders</t>
  </si>
  <si>
    <t>S3.3 Rights of indigenous peoples</t>
  </si>
  <si>
    <t>Free, prior and informed consent; Self-determination; Cultural rights</t>
  </si>
  <si>
    <t>S4 Consumers and end- users</t>
  </si>
  <si>
    <t>S4.1 Information-related impacts for consumers and/or end-users</t>
  </si>
  <si>
    <t>Privacy; Freedom of expression; Access to (quality) information</t>
  </si>
  <si>
    <t>S4.2 Personal safety of consumers and/or end-users</t>
  </si>
  <si>
    <t>Health and safety; Security of a person; Protection of children</t>
  </si>
  <si>
    <t>S4.3 Social inclusion of consumers and/or end-users</t>
  </si>
  <si>
    <t>Non-discrimination; Access to products and services; Responsible marketing practices</t>
  </si>
  <si>
    <t>GOVERNANCE</t>
  </si>
  <si>
    <t>G1 Business conduct</t>
  </si>
  <si>
    <t>G1.1 Corporate culture</t>
  </si>
  <si>
    <t>Ethical leadership; Diversity, equity, and inclusion (DEI); Employee engagement; Organizational values</t>
  </si>
  <si>
    <t>G1.2 Protection of whistle-blowers</t>
  </si>
  <si>
    <t>G1.3 Animal welfare</t>
  </si>
  <si>
    <t>Ethical sourcing of animal products; Testing alternatives; Livestock welfare standards; Wildlife protection</t>
  </si>
  <si>
    <t>G1.4 Political engagement</t>
  </si>
  <si>
    <t>Lobbying transparency; Political donation policies; Government relations; Ethical advocacy practices</t>
  </si>
  <si>
    <t>G1.5 Management of relationships with suppliers including payment practices</t>
  </si>
  <si>
    <t>Fair trade practices; Supplier due diligence; Contract transparency; Payment term compliance</t>
  </si>
  <si>
    <t>G1.6 Corruption and bribery</t>
  </si>
  <si>
    <t>Prevention and detection including training; Incidents</t>
  </si>
  <si>
    <t>List of Impacts, Risks and Opportunities</t>
  </si>
  <si>
    <r>
      <rPr>
        <rFont val="Figtree"/>
        <b/>
        <color theme="1"/>
        <sz val="12.0"/>
      </rPr>
      <t>Note:</t>
    </r>
    <r>
      <rPr>
        <rFont val="Figtree"/>
        <color theme="1"/>
        <sz val="12.0"/>
      </rPr>
      <t xml:space="preserve"> Select the identified subtopics from the drop-down list and add the corresponding impacts, risks and opportunities. 
You can personalize the current options by changing the examples in the sheet '1. ESRS Topic Overview' in the column sub-sub-topics, separing them with ';'. For further details, check the tab 'data validation'.</t>
    </r>
  </si>
  <si>
    <t>Long-List</t>
  </si>
  <si>
    <t>ESRS</t>
  </si>
  <si>
    <t>Sustainability Aspect</t>
  </si>
  <si>
    <t>Impact</t>
  </si>
  <si>
    <t>Risk</t>
  </si>
  <si>
    <t>Opportunity</t>
  </si>
  <si>
    <t>ESRS E1</t>
  </si>
  <si>
    <t>Risk assessment</t>
  </si>
  <si>
    <t>Impact E1-2</t>
  </si>
  <si>
    <t>Risk E1-2</t>
  </si>
  <si>
    <t>Opportunity E1-2</t>
  </si>
  <si>
    <t>Carbon neutrality strategies</t>
  </si>
  <si>
    <t>Impact E1-1</t>
  </si>
  <si>
    <t>Risk E1-1</t>
  </si>
  <si>
    <t>Opportunity E1-1</t>
  </si>
  <si>
    <t>Renewable energy sources</t>
  </si>
  <si>
    <t>Impact E1-3</t>
  </si>
  <si>
    <t>Risk E1-3</t>
  </si>
  <si>
    <t>Opportunity E1-3</t>
  </si>
  <si>
    <t>ESRS E2</t>
  </si>
  <si>
    <t>Greenhouse gases</t>
  </si>
  <si>
    <t>Impact E2-1</t>
  </si>
  <si>
    <t>Risk E2-1</t>
  </si>
  <si>
    <t>Opportunity E2-1</t>
  </si>
  <si>
    <t>Impact E2-2</t>
  </si>
  <si>
    <t>Risk E2-2</t>
  </si>
  <si>
    <t>Opportunity E2-2</t>
  </si>
  <si>
    <t>Impact E2-3</t>
  </si>
  <si>
    <t>Risk E2-3</t>
  </si>
  <si>
    <t>Opportunity E2-3</t>
  </si>
  <si>
    <t>Impact E2-4</t>
  </si>
  <si>
    <t>Risk E2-4</t>
  </si>
  <si>
    <t>Opportunity E2-4</t>
  </si>
  <si>
    <t>Impact E2-5</t>
  </si>
  <si>
    <t>Risk E2-5</t>
  </si>
  <si>
    <t>Opportunity E2-5</t>
  </si>
  <si>
    <t>Impact E2-6</t>
  </si>
  <si>
    <t>Risk E2-6</t>
  </si>
  <si>
    <t>Opportunity E2-6</t>
  </si>
  <si>
    <t>Impact E2-7</t>
  </si>
  <si>
    <t>Risk E2-7</t>
  </si>
  <si>
    <t>Opportunity E2-7</t>
  </si>
  <si>
    <t>ESRS E3</t>
  </si>
  <si>
    <t>Impact E3-1</t>
  </si>
  <si>
    <t>Risk E3-1</t>
  </si>
  <si>
    <t>Opportunity E3-1</t>
  </si>
  <si>
    <t>Impact E3-2</t>
  </si>
  <si>
    <t>Risk E3-2</t>
  </si>
  <si>
    <t>Opportunity E3-2</t>
  </si>
  <si>
    <t>ESRS E4</t>
  </si>
  <si>
    <t>Impact E4-1</t>
  </si>
  <si>
    <t>Risk E4-1</t>
  </si>
  <si>
    <t>Opportunity E4-1</t>
  </si>
  <si>
    <t>Impact E4-2</t>
  </si>
  <si>
    <t>Risk E4-2</t>
  </si>
  <si>
    <t>Opportunity E4-2</t>
  </si>
  <si>
    <t>Impact E4-3</t>
  </si>
  <si>
    <t>Risk E4-3</t>
  </si>
  <si>
    <t>Opportunity E4-3</t>
  </si>
  <si>
    <t>Impact E4-4</t>
  </si>
  <si>
    <t>Risk E4-4</t>
  </si>
  <si>
    <t>ESRS E5</t>
  </si>
  <si>
    <t>Impact E5-1</t>
  </si>
  <si>
    <t>Risk E5-1</t>
  </si>
  <si>
    <t>Opportunity E5-1</t>
  </si>
  <si>
    <t>Impact E5-2</t>
  </si>
  <si>
    <t>Risk E5-2</t>
  </si>
  <si>
    <t>Opportunity E5-2</t>
  </si>
  <si>
    <t>Impact E5-3</t>
  </si>
  <si>
    <t>Risk E5-3</t>
  </si>
  <si>
    <t>Opportunity E5-3</t>
  </si>
  <si>
    <t>ESRS S1</t>
  </si>
  <si>
    <t xml:space="preserve">S1.1 Working conditions </t>
  </si>
  <si>
    <t>Impact S1-1</t>
  </si>
  <si>
    <t>Risk S1-1</t>
  </si>
  <si>
    <t>Opportunity S1-1</t>
  </si>
  <si>
    <t>Impact S1-2</t>
  </si>
  <si>
    <t>Risk S1-2</t>
  </si>
  <si>
    <t>Opportunity S1-2</t>
  </si>
  <si>
    <t>Impact S1-3</t>
  </si>
  <si>
    <t>Risk S1-3</t>
  </si>
  <si>
    <t>Opportunity S1-3</t>
  </si>
  <si>
    <t>ESRS S2</t>
  </si>
  <si>
    <t>Impact S2-1</t>
  </si>
  <si>
    <t>Risk S2-1</t>
  </si>
  <si>
    <t>Opportunity S2-1</t>
  </si>
  <si>
    <t>Impact S2-2</t>
  </si>
  <si>
    <t>Risk S2-2</t>
  </si>
  <si>
    <t>Opportunity S2-2</t>
  </si>
  <si>
    <t>Impact S2-3</t>
  </si>
  <si>
    <t>Risk S2-3</t>
  </si>
  <si>
    <t>Opportunity S2-3</t>
  </si>
  <si>
    <t>ESRS S3</t>
  </si>
  <si>
    <t>Impact S3-1</t>
  </si>
  <si>
    <t>Risk S3-1</t>
  </si>
  <si>
    <t>Opportunity S3-1</t>
  </si>
  <si>
    <t>Impact S3-2</t>
  </si>
  <si>
    <t>Risk S3-2</t>
  </si>
  <si>
    <t>Opportunity S3-2</t>
  </si>
  <si>
    <t>Impact S3-3</t>
  </si>
  <si>
    <t>Risk S3-3</t>
  </si>
  <si>
    <t>Opportunity S3-3</t>
  </si>
  <si>
    <t>ESRS S4</t>
  </si>
  <si>
    <t>Impact S4-1</t>
  </si>
  <si>
    <t>Risk S4-1</t>
  </si>
  <si>
    <t>Opportunity S4-1</t>
  </si>
  <si>
    <t>Impact S4-2</t>
  </si>
  <si>
    <t>Risk S4-2</t>
  </si>
  <si>
    <t>Opportunity S4-2</t>
  </si>
  <si>
    <t>Impact S4-3</t>
  </si>
  <si>
    <t>Risk S4-3</t>
  </si>
  <si>
    <t xml:space="preserve">Opportunity S4-3 </t>
  </si>
  <si>
    <t>ESRS G1</t>
  </si>
  <si>
    <t>Impact G1-1</t>
  </si>
  <si>
    <t>Risk G1-1</t>
  </si>
  <si>
    <t>Opportunity G1-1</t>
  </si>
  <si>
    <t>Impact G1-2</t>
  </si>
  <si>
    <t>Risk G1-2</t>
  </si>
  <si>
    <t>Opportunity G1-2</t>
  </si>
  <si>
    <t>Impact G1-3</t>
  </si>
  <si>
    <t>Risk G1-3</t>
  </si>
  <si>
    <t xml:space="preserve">Opportunity G1-3 </t>
  </si>
  <si>
    <t>Impact G1-4</t>
  </si>
  <si>
    <t>Risk G1-4</t>
  </si>
  <si>
    <t>Opportunity G1-4</t>
  </si>
  <si>
    <t>Impact G1-5</t>
  </si>
  <si>
    <t>Risk G1-5</t>
  </si>
  <si>
    <t>Opportunity G1-5</t>
  </si>
  <si>
    <t>Impact G1-6</t>
  </si>
  <si>
    <t>Risk G1-6</t>
  </si>
  <si>
    <t>Opportunity G1-6</t>
  </si>
  <si>
    <t xml:space="preserve">Double Materiality Assessment: Environmental </t>
  </si>
  <si>
    <r>
      <rPr>
        <rFont val="Figtree"/>
        <b/>
        <color theme="1"/>
        <sz val="12.0"/>
      </rPr>
      <t>Note:</t>
    </r>
    <r>
      <rPr>
        <rFont val="Figtree"/>
        <color theme="1"/>
        <sz val="12.0"/>
      </rPr>
      <t xml:space="preserve"> Actual impact types must be calculated with the likelihood of 1. </t>
    </r>
  </si>
  <si>
    <t>Impacts</t>
  </si>
  <si>
    <t>Impact Type</t>
  </si>
  <si>
    <t>Scale</t>
  </si>
  <si>
    <t>Value</t>
  </si>
  <si>
    <t>Value * Likelihood</t>
  </si>
  <si>
    <t>Scope</t>
  </si>
  <si>
    <t>Irremediable Character</t>
  </si>
  <si>
    <t>Likelihood</t>
  </si>
  <si>
    <t>Impact-Index</t>
  </si>
  <si>
    <t>Conclusion</t>
  </si>
  <si>
    <t>Actual positive</t>
  </si>
  <si>
    <t>Low</t>
  </si>
  <si>
    <t>High</t>
  </si>
  <si>
    <t>Potential positive</t>
  </si>
  <si>
    <t>Medium</t>
  </si>
  <si>
    <t>Actual negative</t>
  </si>
  <si>
    <t>Potential negative</t>
  </si>
  <si>
    <t>Risks/Opportunities</t>
  </si>
  <si>
    <t>Likelihood of Occurence</t>
  </si>
  <si>
    <t>Potential Magnitude</t>
  </si>
  <si>
    <t>R/O-Index</t>
  </si>
  <si>
    <t>Possible (once every 1-2 years)</t>
  </si>
  <si>
    <t xml:space="preserve">Likely (1-4 times a year) </t>
  </si>
  <si>
    <t>Unlikely (5 years or longer)</t>
  </si>
  <si>
    <t>Rarely (once every 1-5 years)</t>
  </si>
  <si>
    <t>Moderate</t>
  </si>
  <si>
    <t>Insignificant</t>
  </si>
  <si>
    <t xml:space="preserve">Often (4-12 times a year) </t>
  </si>
  <si>
    <t>Continuously (at least once per month)</t>
  </si>
  <si>
    <t>Double Materiality Assessment: Governance</t>
  </si>
  <si>
    <r>
      <rPr>
        <rFont val="Figtree"/>
        <b/>
        <color theme="1"/>
        <sz val="12.0"/>
      </rPr>
      <t>Note:</t>
    </r>
    <r>
      <rPr>
        <rFont val="Figtree"/>
        <color theme="1"/>
        <sz val="12.0"/>
      </rPr>
      <t xml:space="preserve"> Perform the assessment by selecting values from the drop-down lists. For positive impacts, use "No entry" in the field "Irremediable Character". Actual impact types must be calculated with the likelihood of 1. The impact index will then be calculated automatically and the finding of whether a topic is material or not will be inserted.</t>
    </r>
  </si>
  <si>
    <t>Double Materiality Assessment: Social</t>
  </si>
  <si>
    <r>
      <rPr>
        <rFont val="Figtree"/>
        <b/>
        <color theme="1"/>
        <sz val="12.0"/>
      </rPr>
      <t>Note:</t>
    </r>
    <r>
      <rPr>
        <rFont val="Figtree"/>
        <color theme="1"/>
        <sz val="12.0"/>
      </rPr>
      <t xml:space="preserve"> Perform the assessment by selecting values from the drop-down lists. For positive impacts, use "No entry" in the field "Irremediable Character". Actual impact types must be calculated with the likelihood of 1. The impact index will then be calculated automatically and the finding of whether a topic is material or not will be inserted.</t>
    </r>
  </si>
  <si>
    <t xml:space="preserve">ESRS: Reportable Topics For Your Company </t>
  </si>
  <si>
    <r>
      <rPr>
        <rFont val="Figtree"/>
        <b/>
        <color theme="1"/>
        <sz val="12.0"/>
      </rPr>
      <t>Note:</t>
    </r>
    <r>
      <rPr>
        <rFont val="Figtree"/>
        <color theme="1"/>
        <sz val="12.0"/>
      </rPr>
      <t xml:space="preserve"> Impacts, risks and opportunities are automatically added from the spreadsheet "List of IROs". Once any of these are considered material, the overall topic (e.g. ESRS E1) is highlighted in red and must be reported. </t>
    </r>
  </si>
  <si>
    <t>Materiality</t>
  </si>
  <si>
    <t>Risks</t>
  </si>
  <si>
    <t>Opportunities</t>
  </si>
  <si>
    <t xml:space="preserve">Assignment Table Impact </t>
  </si>
  <si>
    <t>Eintrittswahrscheinlichkeiten</t>
  </si>
  <si>
    <t>Ausmaß</t>
  </si>
  <si>
    <t>Art Impact</t>
  </si>
  <si>
    <t>R/O</t>
  </si>
  <si>
    <t>Textwerte</t>
  </si>
  <si>
    <t>Nummerische Werte</t>
  </si>
  <si>
    <t>niedrig</t>
  </si>
  <si>
    <t>negativ</t>
  </si>
  <si>
    <t>No entry</t>
  </si>
  <si>
    <t>mittel</t>
  </si>
  <si>
    <t>potenziell negativ</t>
  </si>
  <si>
    <t>hoch</t>
  </si>
  <si>
    <t>positiv</t>
  </si>
  <si>
    <t>potenziell positiv</t>
  </si>
  <si>
    <t>Assignment Table Risks/Opportunities: Likeliood of Occurence</t>
  </si>
  <si>
    <t>Art der Impacts</t>
  </si>
  <si>
    <t>Text values</t>
  </si>
  <si>
    <t>Numerical values</t>
  </si>
  <si>
    <t/>
  </si>
  <si>
    <t>Assignment Table Risks/Opportunities: Potential Magnitude</t>
  </si>
  <si>
    <t>Very High</t>
  </si>
</sst>
</file>

<file path=xl/styles.xml><?xml version="1.0" encoding="utf-8"?>
<styleSheet xmlns="http://schemas.openxmlformats.org/spreadsheetml/2006/main" xmlns:x14ac="http://schemas.microsoft.com/office/spreadsheetml/2009/9/ac" xmlns:mc="http://schemas.openxmlformats.org/markup-compatibility/2006">
  <fonts count="35">
    <font>
      <sz val="11.0"/>
      <color theme="1"/>
      <name val="Calibri"/>
      <scheme val="minor"/>
    </font>
    <font>
      <color theme="1"/>
      <name val="Figtree"/>
    </font>
    <font/>
    <font>
      <sz val="29.0"/>
      <color rgb="FFFFFFFF"/>
      <name val="Figtree"/>
    </font>
    <font>
      <b/>
      <sz val="20.0"/>
      <color rgb="FF0F153B"/>
      <name val="Figtree"/>
    </font>
    <font>
      <sz val="12.0"/>
      <color rgb="FFFFFFFF"/>
      <name val="Figtree"/>
    </font>
    <font>
      <color rgb="FF0F153B"/>
      <name val="Figtree"/>
    </font>
    <font>
      <sz val="12.0"/>
      <color rgb="FF0F153B"/>
      <name val="Figtree"/>
    </font>
    <font>
      <b/>
      <sz val="14.0"/>
      <color rgb="FF0C1E6A"/>
      <name val="Figtree"/>
    </font>
    <font>
      <sz val="14.0"/>
      <color rgb="FF7D8FDB"/>
      <name val="Figtree"/>
    </font>
    <font>
      <color rgb="FFFFFFFF"/>
      <name val="Figtree"/>
    </font>
    <font>
      <b/>
      <sz val="18.0"/>
      <color theme="0"/>
      <name val="Figtree"/>
    </font>
    <font>
      <b/>
      <sz val="16.0"/>
      <color theme="0"/>
      <name val="Figtree"/>
    </font>
    <font>
      <b/>
      <sz val="11.0"/>
      <color theme="1"/>
      <name val="Arial Narrow"/>
    </font>
    <font>
      <sz val="11.0"/>
      <color theme="0"/>
      <name val="Figtree"/>
    </font>
    <font>
      <sz val="11.0"/>
      <color theme="1"/>
      <name val="Arial Narrow"/>
    </font>
    <font>
      <sz val="11.0"/>
      <color theme="1"/>
      <name val="Figtree"/>
    </font>
    <font>
      <b/>
      <sz val="11.0"/>
      <color theme="1"/>
      <name val="Figtree"/>
    </font>
    <font>
      <b/>
      <sz val="8.0"/>
      <color theme="1"/>
      <name val="Figtree"/>
    </font>
    <font>
      <sz val="11.0"/>
      <color theme="1"/>
      <name val="Calibri"/>
    </font>
    <font>
      <sz val="12.0"/>
      <color theme="1"/>
      <name val="Figtree"/>
    </font>
    <font>
      <b/>
      <sz val="12.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Figtree"/>
    </font>
    <font>
      <b/>
      <u/>
      <sz val="11.0"/>
      <color theme="1"/>
      <name val="Calibri"/>
    </font>
    <font>
      <b/>
      <u/>
      <sz val="11.0"/>
      <color theme="1"/>
      <name val="Calibri"/>
    </font>
    <font>
      <b/>
      <u/>
      <sz val="11.0"/>
      <color theme="1"/>
      <name val="Calibri"/>
    </font>
  </fonts>
  <fills count="18">
    <fill>
      <patternFill patternType="none"/>
    </fill>
    <fill>
      <patternFill patternType="lightGray"/>
    </fill>
    <fill>
      <patternFill patternType="solid">
        <fgColor rgb="FF28368C"/>
        <bgColor rgb="FF28368C"/>
      </patternFill>
    </fill>
    <fill>
      <patternFill patternType="solid">
        <fgColor rgb="FFF3F4F8"/>
        <bgColor rgb="FFF3F4F8"/>
      </patternFill>
    </fill>
    <fill>
      <patternFill patternType="solid">
        <fgColor rgb="FFFFFFFF"/>
        <bgColor rgb="FFFFFFFF"/>
      </patternFill>
    </fill>
    <fill>
      <patternFill patternType="solid">
        <fgColor rgb="FF26358F"/>
        <bgColor rgb="FF26358F"/>
      </patternFill>
    </fill>
    <fill>
      <patternFill patternType="solid">
        <fgColor rgb="FFFC5A43"/>
        <bgColor rgb="FFFC5A43"/>
      </patternFill>
    </fill>
    <fill>
      <patternFill patternType="solid">
        <fgColor rgb="FFF9F9F9"/>
        <bgColor rgb="FFF9F9F9"/>
      </patternFill>
    </fill>
    <fill>
      <patternFill patternType="solid">
        <fgColor rgb="FFE2EFD9"/>
        <bgColor rgb="FFE2EFD9"/>
      </patternFill>
    </fill>
    <fill>
      <patternFill patternType="solid">
        <fgColor rgb="FFDEEAF6"/>
        <bgColor rgb="FFDEEAF6"/>
      </patternFill>
    </fill>
    <fill>
      <patternFill patternType="solid">
        <fgColor rgb="FFFBE4D5"/>
        <bgColor rgb="FFFBE4D5"/>
      </patternFill>
    </fill>
    <fill>
      <patternFill patternType="solid">
        <fgColor rgb="FFD8D8D8"/>
        <bgColor rgb="FFD8D8D8"/>
      </patternFill>
    </fill>
    <fill>
      <patternFill patternType="solid">
        <fgColor rgb="FFD9D9D9"/>
        <bgColor rgb="FFD9D9D9"/>
      </patternFill>
    </fill>
    <fill>
      <patternFill patternType="solid">
        <fgColor theme="0"/>
        <bgColor theme="0"/>
      </patternFill>
    </fill>
    <fill>
      <patternFill patternType="solid">
        <fgColor rgb="FFD0CECE"/>
        <bgColor rgb="FFD0CECE"/>
      </patternFill>
    </fill>
    <fill>
      <patternFill patternType="solid">
        <fgColor rgb="FFD5D5D5"/>
        <bgColor rgb="FFD5D5D5"/>
      </patternFill>
    </fill>
    <fill>
      <patternFill patternType="solid">
        <fgColor rgb="FFD9E2F3"/>
        <bgColor rgb="FFD9E2F3"/>
      </patternFill>
    </fill>
    <fill>
      <patternFill patternType="solid">
        <fgColor rgb="FFD6DCE4"/>
        <bgColor rgb="FFD6DCE4"/>
      </patternFill>
    </fill>
  </fills>
  <borders count="133">
    <border/>
    <border>
      <left style="thin">
        <color rgb="FF28368C"/>
      </left>
      <right style="thin">
        <color rgb="FF28368C"/>
      </right>
      <top style="thin">
        <color rgb="FF28368C"/>
      </top>
      <bottom style="thin">
        <color rgb="FF28368C"/>
      </bottom>
    </border>
    <border>
      <right style="thin">
        <color rgb="FFF3F4F8"/>
      </right>
      <top style="thin">
        <color rgb="FFF3F4F8"/>
      </top>
      <bottom style="thin">
        <color rgb="FFF3F4F8"/>
      </bottom>
    </border>
    <border>
      <left style="thin">
        <color rgb="FFF3F4F8"/>
      </left>
      <right style="thin">
        <color rgb="FFF3F4F8"/>
      </right>
      <top style="thin">
        <color rgb="FFF3F4F8"/>
      </top>
      <bottom style="thin">
        <color rgb="FFF3F4F8"/>
      </bottom>
    </border>
    <border>
      <left style="thin">
        <color rgb="FFF3F4F8"/>
      </left>
      <top style="thin">
        <color rgb="FFF3F4F8"/>
      </top>
      <bottom style="thin">
        <color rgb="FFF3F4F8"/>
      </bottom>
    </border>
    <border>
      <left style="thin">
        <color rgb="FFFFFFFF"/>
      </left>
      <right style="thin">
        <color rgb="FFFFFFFF"/>
      </right>
      <top style="thin">
        <color rgb="FFFFFFFF"/>
      </top>
      <bottom style="thin">
        <color rgb="FFFFFFFF"/>
      </bottom>
    </border>
    <border>
      <right style="thin">
        <color rgb="FFF3F4F8"/>
      </right>
      <bottom style="thin">
        <color rgb="FFF3F4F8"/>
      </bottom>
    </border>
    <border>
      <left style="thin">
        <color rgb="FFF3F4F8"/>
      </left>
      <right style="thin">
        <color rgb="FFF3F4F8"/>
      </right>
      <bottom style="thin">
        <color rgb="FFF3F4F8"/>
      </bottom>
    </border>
    <border>
      <left style="thin">
        <color rgb="FFF3F4F8"/>
      </left>
      <bottom style="thin">
        <color rgb="FFF3F4F8"/>
      </bottom>
    </border>
    <border>
      <left style="thin">
        <color rgb="FFFFFFFF"/>
      </left>
      <top style="thin">
        <color rgb="FFFFFFFF"/>
      </top>
    </border>
    <border>
      <top style="thin">
        <color rgb="FFFFFFFF"/>
      </top>
    </border>
    <border>
      <right style="thin">
        <color rgb="FFFFFFFF"/>
      </right>
      <top style="thin">
        <color rgb="FFFFFFFF"/>
      </top>
    </border>
    <border>
      <left style="thin">
        <color rgb="FF28368C"/>
      </left>
      <top style="thin">
        <color rgb="FF28368C"/>
      </top>
    </border>
    <border>
      <top style="thin">
        <color rgb="FF28368C"/>
      </top>
    </border>
    <border>
      <right style="thin">
        <color rgb="FF28368C"/>
      </right>
      <top style="thin">
        <color rgb="FF28368C"/>
      </top>
    </border>
    <border>
      <left style="thin">
        <color rgb="FFF3F4F8"/>
      </left>
      <top style="thin">
        <color rgb="FFF3F4F8"/>
      </top>
    </border>
    <border>
      <top style="thin">
        <color rgb="FFF3F4F8"/>
      </top>
    </border>
    <border>
      <right style="thin">
        <color rgb="FFF3F4F8"/>
      </right>
      <top style="thin">
        <color rgb="FFF3F4F8"/>
      </top>
    </border>
    <border>
      <left style="thin">
        <color rgb="FFFFFFFF"/>
      </left>
    </border>
    <border>
      <right style="thin">
        <color rgb="FFFFFFFF"/>
      </right>
    </border>
    <border>
      <left style="thin">
        <color rgb="FF28368C"/>
      </left>
    </border>
    <border>
      <right style="thin">
        <color rgb="FF28368C"/>
      </right>
    </border>
    <border>
      <left style="thin">
        <color rgb="FFF3F4F8"/>
      </left>
    </border>
    <border>
      <right style="thin">
        <color rgb="FFF3F4F8"/>
      </right>
    </border>
    <border>
      <left style="thin">
        <color rgb="FF28368C"/>
      </left>
      <bottom style="thin">
        <color rgb="FF28368C"/>
      </bottom>
    </border>
    <border>
      <bottom style="thin">
        <color rgb="FF28368C"/>
      </bottom>
    </border>
    <border>
      <right style="thin">
        <color rgb="FF28368C"/>
      </right>
      <bottom style="thin">
        <color rgb="FF28368C"/>
      </bottom>
    </border>
    <border>
      <bottom style="thin">
        <color rgb="FFF3F4F8"/>
      </bottom>
    </border>
    <border>
      <left style="thin">
        <color rgb="FF26358F"/>
      </left>
      <right style="thin">
        <color rgb="FF26358F"/>
      </right>
      <bottom style="thin">
        <color rgb="FF26358F"/>
      </bottom>
    </border>
    <border>
      <left style="thin">
        <color rgb="FF26358F"/>
      </left>
      <bottom style="thin">
        <color rgb="FF26358F"/>
      </bottom>
    </border>
    <border>
      <right style="thin">
        <color rgb="FF26358F"/>
      </right>
      <bottom style="thin">
        <color rgb="FF26358F"/>
      </bottom>
    </border>
    <border>
      <left style="thin">
        <color rgb="FF26358F"/>
      </left>
    </border>
    <border>
      <right style="thin">
        <color rgb="FF26358F"/>
      </right>
    </border>
    <border>
      <top style="thin">
        <color rgb="FFF3F4F8"/>
      </top>
      <bottom style="thin">
        <color rgb="FFF3F4F8"/>
      </bottom>
    </border>
    <border>
      <left style="thin">
        <color rgb="FF26358F"/>
      </left>
      <right style="thin">
        <color rgb="FF26358F"/>
      </right>
      <top style="thin">
        <color rgb="FF26358F"/>
      </top>
      <bottom style="thin">
        <color rgb="FF26358F"/>
      </bottom>
    </border>
    <border>
      <bottom style="thin">
        <color rgb="FFFFFFFF"/>
      </bottom>
    </border>
    <border>
      <right style="thin">
        <color rgb="FFFFFFFF"/>
      </right>
      <bottom style="thin">
        <color rgb="FFFFFFFF"/>
      </bottom>
    </border>
    <border>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left style="hair">
        <color rgb="FFFFFFFF"/>
      </left>
      <top style="hair">
        <color rgb="FFFFFFFF"/>
      </top>
      <bottom style="hair">
        <color rgb="FFFFFFFF"/>
      </bottom>
    </border>
    <border>
      <left style="thin">
        <color rgb="FFFFFFFF"/>
      </left>
      <top style="hair">
        <color rgb="FFFFFFFF"/>
      </top>
      <bottom style="hair">
        <color rgb="FFFFFFFF"/>
      </bottom>
    </border>
    <border>
      <left style="thin">
        <color rgb="FFFFFFFF"/>
      </left>
      <bottom style="thin">
        <color rgb="FFFFFFFF"/>
      </bottom>
    </border>
    <border>
      <left style="thin">
        <color rgb="FFFFFFFF"/>
      </left>
      <top style="hair">
        <color rgb="FFFFFFFF"/>
      </top>
      <bottom style="thin">
        <color rgb="FFFFFFFF"/>
      </bottom>
    </border>
    <border>
      <left style="thin">
        <color rgb="FF26358F"/>
      </left>
      <top style="thin">
        <color rgb="FF26358F"/>
      </top>
      <bottom style="thin">
        <color rgb="FF26358F"/>
      </bottom>
    </border>
    <border>
      <left style="thin">
        <color rgb="FFFFFFFF"/>
      </left>
      <right style="thin">
        <color rgb="FFFFFFFF"/>
      </right>
      <bottom style="thin">
        <color rgb="FFFFFFFF"/>
      </bottom>
    </border>
    <border>
      <left style="medium">
        <color rgb="FF000000"/>
      </left>
      <right/>
      <top/>
      <bottom/>
    </border>
    <border>
      <left style="medium">
        <color rgb="FF003366"/>
      </left>
      <top style="medium">
        <color rgb="FF000000"/>
      </top>
      <bottom/>
    </border>
    <border>
      <top style="medium">
        <color rgb="FF000000"/>
      </top>
      <bottom/>
    </border>
    <border>
      <right style="medium">
        <color rgb="FF000000"/>
      </right>
      <top style="medium">
        <color rgb="FF000000"/>
      </top>
      <bottom/>
    </border>
    <border>
      <left style="medium">
        <color rgb="FF000000"/>
      </left>
      <right/>
      <top/>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right style="medium">
        <color rgb="FF000000"/>
      </right>
      <top style="medium">
        <color rgb="FF000000"/>
      </top>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right style="medium">
        <color rgb="FF000000"/>
      </right>
    </border>
    <border>
      <right style="thin">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rder>
    <border>
      <right style="thin">
        <color rgb="FF000000"/>
      </right>
      <bottom style="thin">
        <color rgb="FF000000"/>
      </bottom>
    </border>
    <border>
      <right style="thin">
        <color rgb="FF000000"/>
      </right>
      <top style="thin">
        <color rgb="FF000000"/>
      </top>
      <bottom style="thin">
        <color rgb="FF000000"/>
      </bottom>
    </border>
    <border>
      <right style="thin">
        <color rgb="FF000000"/>
      </right>
      <top style="thin">
        <color rgb="FF000000"/>
      </top>
    </border>
    <border>
      <left style="thin">
        <color rgb="FF000000"/>
      </left>
      <right style="medium">
        <color rgb="FF000000"/>
      </right>
    </border>
    <border>
      <left style="medium">
        <color rgb="FF000000"/>
      </left>
      <right style="thin">
        <color rgb="FF000000"/>
      </right>
      <bottom style="thin">
        <color rgb="FF000000"/>
      </bottom>
    </border>
    <border>
      <left/>
      <top style="thin">
        <color rgb="FF000000"/>
      </top>
      <bottom style="thin">
        <color rgb="FF000000"/>
      </bottom>
    </border>
    <border>
      <left style="medium">
        <color rgb="FF000000"/>
      </left>
      <top style="thin">
        <color rgb="FF000000"/>
      </top>
    </border>
    <border>
      <left style="medium">
        <color rgb="FF000000"/>
      </left>
    </border>
    <border>
      <left/>
      <right style="medium">
        <color rgb="FF000000"/>
      </right>
      <bottom style="thin">
        <color rgb="FF000000"/>
      </bottom>
    </border>
    <border>
      <left/>
      <right style="medium">
        <color rgb="FF000000"/>
      </right>
      <top style="thin">
        <color rgb="FF000000"/>
      </top>
    </border>
    <border>
      <left style="medium">
        <color rgb="FF000000"/>
      </left>
      <right style="thin">
        <color rgb="FF000000"/>
      </right>
      <top style="thin">
        <color rgb="FF000000"/>
      </top>
    </border>
    <border>
      <left/>
      <right style="medium">
        <color rgb="FF000000"/>
      </right>
      <top/>
    </border>
    <border>
      <right style="medium">
        <color rgb="FF000000"/>
      </right>
    </border>
    <border>
      <left/>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ttom style="thin">
        <color rgb="FF000000"/>
      </bottom>
    </border>
    <border>
      <left/>
      <top style="thin">
        <color rgb="FF000000"/>
      </top>
      <bottom/>
    </border>
    <border>
      <top style="thin">
        <color rgb="FF000000"/>
      </top>
      <bottom/>
    </border>
    <border>
      <right style="medium">
        <color rgb="FF000000"/>
      </right>
      <top style="thin">
        <color rgb="FF000000"/>
      </top>
      <bottom/>
    </border>
    <border>
      <left style="thin">
        <color rgb="FF000000"/>
      </left>
      <top style="medium">
        <color rgb="FF000000"/>
      </top>
      <bottom/>
    </border>
    <border>
      <left style="thin">
        <color rgb="FF000000"/>
      </left>
      <top/>
      <bottom style="thin">
        <color rgb="FF000000"/>
      </bottom>
    </border>
    <border>
      <right style="thin">
        <color rgb="FF000000"/>
      </right>
      <top/>
      <bottom style="thin">
        <color rgb="FF000000"/>
      </bottom>
    </border>
    <border>
      <left style="thin">
        <color rgb="FF000000"/>
      </left>
      <top/>
      <bottom/>
    </border>
    <border>
      <top/>
      <bottom/>
    </border>
    <border>
      <right/>
      <top/>
      <bottom/>
    </border>
    <border>
      <left style="medium">
        <color rgb="FF000000"/>
      </left>
      <right style="thin">
        <color rgb="FF000000"/>
      </right>
      <top style="medium">
        <color rgb="FF000000"/>
      </top>
      <bottom style="thin">
        <color rgb="FF000000"/>
      </bottom>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style="medium">
        <color rgb="FF000000"/>
      </left>
      <top/>
      <bottom/>
    </border>
    <border>
      <right style="medium">
        <color rgb="FF000000"/>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top style="medium">
        <color rgb="FF000000"/>
      </top>
    </border>
  </borders>
  <cellStyleXfs count="1">
    <xf borderId="0" fillId="0" fontId="0" numFmtId="0" applyAlignment="1" applyFont="1"/>
  </cellStyleXfs>
  <cellXfs count="269">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3" fontId="1" numFmtId="0" xfId="0" applyAlignment="1" applyBorder="1" applyFill="1" applyFont="1">
      <alignment vertical="bottom"/>
    </xf>
    <xf borderId="3" fillId="3" fontId="1" numFmtId="0" xfId="0" applyAlignment="1" applyBorder="1" applyFont="1">
      <alignment vertical="bottom"/>
    </xf>
    <xf borderId="4" fillId="3" fontId="1" numFmtId="0" xfId="0" applyAlignment="1" applyBorder="1" applyFont="1">
      <alignment vertical="bottom"/>
    </xf>
    <xf borderId="5" fillId="4" fontId="1" numFmtId="0" xfId="0" applyAlignment="1" applyBorder="1" applyFill="1" applyFont="1">
      <alignment vertical="bottom"/>
    </xf>
    <xf borderId="6" fillId="3" fontId="1" numFmtId="0" xfId="0" applyAlignment="1" applyBorder="1" applyFont="1">
      <alignment vertical="bottom"/>
    </xf>
    <xf borderId="7" fillId="3" fontId="1" numFmtId="0" xfId="0" applyAlignment="1" applyBorder="1" applyFont="1">
      <alignment vertical="bottom"/>
    </xf>
    <xf borderId="8" fillId="3" fontId="1" numFmtId="0" xfId="0" applyAlignment="1" applyBorder="1" applyFont="1">
      <alignment vertical="bottom"/>
    </xf>
    <xf borderId="1" fillId="5" fontId="1" numFmtId="0" xfId="0" applyAlignment="1" applyBorder="1" applyFill="1" applyFont="1">
      <alignment vertical="bottom"/>
    </xf>
    <xf borderId="9" fillId="4" fontId="1" numFmtId="0" xfId="0" applyAlignment="1" applyBorder="1" applyFont="1">
      <alignment vertical="bottom"/>
    </xf>
    <xf borderId="10" fillId="0" fontId="2" numFmtId="0" xfId="0" applyBorder="1" applyFont="1"/>
    <xf borderId="11" fillId="0" fontId="2" numFmtId="0" xfId="0" applyBorder="1" applyFont="1"/>
    <xf borderId="12" fillId="5" fontId="3" numFmtId="0" xfId="0" applyAlignment="1" applyBorder="1" applyFont="1">
      <alignment horizontal="center" readingOrder="0" vertical="center"/>
    </xf>
    <xf borderId="13" fillId="0" fontId="2" numFmtId="0" xfId="0" applyBorder="1" applyFont="1"/>
    <xf borderId="14" fillId="0" fontId="2" numFmtId="0" xfId="0" applyBorder="1" applyFont="1"/>
    <xf borderId="15" fillId="3" fontId="4" numFmtId="0" xfId="0" applyAlignment="1" applyBorder="1" applyFont="1">
      <alignment horizontal="center" vertical="center"/>
    </xf>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23" fillId="0" fontId="2" numFmtId="0" xfId="0" applyBorder="1" applyFont="1"/>
    <xf borderId="24" fillId="0" fontId="2" numFmtId="0" xfId="0" applyBorder="1" applyFont="1"/>
    <xf borderId="25" fillId="0" fontId="2" numFmtId="0" xfId="0" applyBorder="1" applyFont="1"/>
    <xf borderId="26" fillId="0" fontId="2" numFmtId="0" xfId="0" applyBorder="1" applyFont="1"/>
    <xf borderId="8" fillId="0" fontId="2" numFmtId="0" xfId="0" applyBorder="1" applyFont="1"/>
    <xf borderId="27" fillId="0" fontId="2" numFmtId="0" xfId="0" applyBorder="1" applyFont="1"/>
    <xf borderId="6" fillId="0" fontId="2" numFmtId="0" xfId="0" applyBorder="1" applyFont="1"/>
    <xf borderId="28" fillId="5" fontId="1" numFmtId="0" xfId="0" applyAlignment="1" applyBorder="1" applyFont="1">
      <alignment vertical="bottom"/>
    </xf>
    <xf borderId="29" fillId="5" fontId="1" numFmtId="0" xfId="0" applyAlignment="1" applyBorder="1" applyFont="1">
      <alignment vertical="bottom"/>
    </xf>
    <xf borderId="30" fillId="0" fontId="2" numFmtId="0" xfId="0" applyBorder="1" applyFont="1"/>
    <xf borderId="28" fillId="5" fontId="5" numFmtId="0" xfId="0" applyAlignment="1" applyBorder="1" applyFont="1">
      <alignment vertical="bottom"/>
    </xf>
    <xf borderId="31" fillId="5" fontId="1" numFmtId="0" xfId="0" applyAlignment="1" applyBorder="1" applyFont="1">
      <alignment vertical="bottom"/>
    </xf>
    <xf borderId="32" fillId="0" fontId="2" numFmtId="0" xfId="0" applyBorder="1" applyFont="1"/>
    <xf borderId="4" fillId="3" fontId="6" numFmtId="0" xfId="0" applyAlignment="1" applyBorder="1" applyFont="1">
      <alignment vertical="top"/>
    </xf>
    <xf borderId="33" fillId="0" fontId="2" numFmtId="0" xfId="0" applyBorder="1" applyFont="1"/>
    <xf borderId="2" fillId="0" fontId="2" numFmtId="0" xfId="0" applyBorder="1" applyFont="1"/>
    <xf borderId="34" fillId="5" fontId="1" numFmtId="0" xfId="0" applyAlignment="1" applyBorder="1" applyFont="1">
      <alignment vertical="bottom"/>
    </xf>
    <xf borderId="31" fillId="0" fontId="2" numFmtId="0" xfId="0" applyBorder="1" applyFont="1"/>
    <xf borderId="15" fillId="3" fontId="7" numFmtId="0" xfId="0" applyAlignment="1" applyBorder="1" applyFont="1">
      <alignment readingOrder="0" shrinkToFit="0" vertical="top" wrapText="1"/>
    </xf>
    <xf borderId="29" fillId="0" fontId="2" numFmtId="0" xfId="0" applyBorder="1" applyFont="1"/>
    <xf borderId="0" fillId="4" fontId="8" numFmtId="0" xfId="0" applyAlignment="1" applyFont="1">
      <alignment horizontal="center" readingOrder="0" vertical="center"/>
    </xf>
    <xf borderId="35" fillId="0" fontId="2" numFmtId="0" xfId="0" applyBorder="1" applyFont="1"/>
    <xf borderId="36" fillId="0" fontId="2" numFmtId="0" xfId="0" applyBorder="1" applyFont="1"/>
    <xf borderId="37" fillId="4" fontId="1" numFmtId="0" xfId="0" applyAlignment="1" applyBorder="1" applyFont="1">
      <alignment vertical="bottom"/>
    </xf>
    <xf borderId="38" fillId="4" fontId="9" numFmtId="0" xfId="0" applyAlignment="1" applyBorder="1" applyFont="1">
      <alignment horizontal="center" readingOrder="0" shrinkToFit="0" vertical="bottom" wrapText="1"/>
    </xf>
    <xf borderId="39" fillId="0" fontId="2" numFmtId="0" xfId="0" applyBorder="1" applyFont="1"/>
    <xf borderId="37" fillId="0" fontId="2" numFmtId="0" xfId="0" applyBorder="1" applyFont="1"/>
    <xf borderId="38" fillId="4" fontId="1" numFmtId="0" xfId="0" applyAlignment="1" applyBorder="1" applyFont="1">
      <alignment vertical="bottom"/>
    </xf>
    <xf borderId="40" fillId="4" fontId="1" numFmtId="0" xfId="0" applyAlignment="1" applyBorder="1" applyFont="1">
      <alignment vertical="bottom"/>
    </xf>
    <xf borderId="41" fillId="4" fontId="1" numFmtId="0" xfId="0" applyAlignment="1" applyBorder="1" applyFont="1">
      <alignment vertical="bottom"/>
    </xf>
    <xf borderId="9" fillId="6" fontId="10" numFmtId="0" xfId="0" applyAlignment="1" applyBorder="1" applyFill="1" applyFont="1">
      <alignment horizontal="center" vertical="center"/>
    </xf>
    <xf borderId="42" fillId="0" fontId="2" numFmtId="0" xfId="0" applyBorder="1" applyFont="1"/>
    <xf borderId="43" fillId="4" fontId="1" numFmtId="0" xfId="0" applyAlignment="1" applyBorder="1" applyFont="1">
      <alignment vertical="bottom"/>
    </xf>
    <xf borderId="10" fillId="4" fontId="1" numFmtId="0" xfId="0" applyAlignment="1" applyBorder="1" applyFont="1">
      <alignment vertical="bottom"/>
    </xf>
    <xf borderId="44" fillId="5" fontId="1" numFmtId="0" xfId="0" applyAlignment="1" applyBorder="1" applyFont="1">
      <alignment vertical="bottom"/>
    </xf>
    <xf borderId="45" fillId="4" fontId="1" numFmtId="0" xfId="0" applyAlignment="1" applyBorder="1" applyFont="1">
      <alignment vertical="bottom"/>
    </xf>
    <xf borderId="0" fillId="0" fontId="1" numFmtId="0" xfId="0" applyAlignment="1" applyFont="1">
      <alignment vertical="bottom"/>
    </xf>
    <xf borderId="5" fillId="0" fontId="1" numFmtId="0" xfId="0" applyAlignment="1" applyBorder="1" applyFont="1">
      <alignment vertical="bottom"/>
    </xf>
    <xf borderId="0" fillId="0" fontId="1" numFmtId="0" xfId="0" applyFont="1"/>
    <xf borderId="46" fillId="2" fontId="11" numFmtId="0" xfId="0" applyBorder="1" applyFont="1"/>
    <xf borderId="47" fillId="2" fontId="12" numFmtId="0" xfId="0" applyAlignment="1" applyBorder="1" applyFont="1">
      <alignment vertical="center"/>
    </xf>
    <xf borderId="48" fillId="0" fontId="2" numFmtId="0" xfId="0" applyBorder="1" applyFont="1"/>
    <xf borderId="49" fillId="0" fontId="2" numFmtId="0" xfId="0" applyBorder="1" applyFont="1"/>
    <xf borderId="0" fillId="0" fontId="13" numFmtId="0" xfId="0" applyFont="1"/>
    <xf borderId="50" fillId="2" fontId="14" numFmtId="0" xfId="0" applyAlignment="1" applyBorder="1" applyFont="1">
      <alignment vertical="center"/>
    </xf>
    <xf borderId="51" fillId="2" fontId="14" numFmtId="0" xfId="0" applyAlignment="1" applyBorder="1" applyFont="1">
      <alignment vertical="center"/>
    </xf>
    <xf borderId="52" fillId="0" fontId="2" numFmtId="0" xfId="0" applyBorder="1" applyFont="1"/>
    <xf borderId="53" fillId="0" fontId="2" numFmtId="0" xfId="0" applyBorder="1" applyFont="1"/>
    <xf borderId="0" fillId="0" fontId="15" numFmtId="0" xfId="0" applyAlignment="1" applyFont="1">
      <alignment vertical="center"/>
    </xf>
    <xf borderId="54" fillId="7" fontId="16" numFmtId="0" xfId="0" applyAlignment="1" applyBorder="1" applyFill="1" applyFont="1">
      <alignment horizontal="left" vertical="center"/>
    </xf>
    <xf borderId="55" fillId="0" fontId="2" numFmtId="0" xfId="0" applyBorder="1" applyFont="1"/>
    <xf borderId="56" fillId="0" fontId="2" numFmtId="0" xfId="0" applyBorder="1" applyFont="1"/>
    <xf borderId="57" fillId="7" fontId="17" numFmtId="0" xfId="0" applyAlignment="1" applyBorder="1" applyFont="1">
      <alignment vertical="center"/>
    </xf>
    <xf borderId="58" fillId="7" fontId="17" numFmtId="0" xfId="0" applyAlignment="1" applyBorder="1" applyFont="1">
      <alignment horizontal="left" vertical="center"/>
    </xf>
    <xf borderId="59" fillId="7" fontId="17" numFmtId="0" xfId="0" applyAlignment="1" applyBorder="1" applyFont="1">
      <alignment horizontal="left" vertical="center"/>
    </xf>
    <xf borderId="60" fillId="7" fontId="17" numFmtId="0" xfId="0" applyAlignment="1" applyBorder="1" applyFont="1">
      <alignment horizontal="left" vertical="center"/>
    </xf>
    <xf borderId="61" fillId="8" fontId="18" numFmtId="0" xfId="0" applyAlignment="1" applyBorder="1" applyFill="1" applyFont="1">
      <alignment horizontal="center" textRotation="255" vertical="center"/>
    </xf>
    <xf borderId="62" fillId="8" fontId="17" numFmtId="0" xfId="0" applyAlignment="1" applyBorder="1" applyFont="1">
      <alignment vertical="center"/>
    </xf>
    <xf borderId="63" fillId="8" fontId="17" numFmtId="0" xfId="0" applyAlignment="1" applyBorder="1" applyFont="1">
      <alignment vertical="center"/>
    </xf>
    <xf borderId="64" fillId="8" fontId="17" numFmtId="0" xfId="0" applyAlignment="1" applyBorder="1" applyFont="1">
      <alignment vertical="center"/>
    </xf>
    <xf borderId="65" fillId="0" fontId="2" numFmtId="0" xfId="0" applyBorder="1" applyFont="1"/>
    <xf borderId="66" fillId="0" fontId="16" numFmtId="0" xfId="0" applyAlignment="1" applyBorder="1" applyFont="1">
      <alignment vertical="center"/>
    </xf>
    <xf borderId="67" fillId="0" fontId="16" numFmtId="0" xfId="0" applyAlignment="1" applyBorder="1" applyFont="1">
      <alignment readingOrder="0" vertical="center"/>
    </xf>
    <xf borderId="68" fillId="0" fontId="16" numFmtId="0" xfId="0" applyAlignment="1" applyBorder="1" applyFont="1">
      <alignment readingOrder="0" vertical="center"/>
    </xf>
    <xf borderId="66" fillId="0" fontId="2" numFmtId="0" xfId="0" applyBorder="1" applyFont="1"/>
    <xf borderId="69" fillId="0" fontId="16" numFmtId="0" xfId="0" applyAlignment="1" applyBorder="1" applyFont="1">
      <alignment vertical="center"/>
    </xf>
    <xf borderId="70" fillId="0" fontId="16" numFmtId="0" xfId="0" applyAlignment="1" applyBorder="1" applyFont="1">
      <alignment readingOrder="0" vertical="center"/>
    </xf>
    <xf borderId="71" fillId="0" fontId="16" numFmtId="0" xfId="0" applyAlignment="1" applyBorder="1" applyFont="1">
      <alignment vertical="center"/>
    </xf>
    <xf borderId="72" fillId="0" fontId="16" numFmtId="0" xfId="0" applyAlignment="1" applyBorder="1" applyFont="1">
      <alignment readingOrder="0" vertical="center"/>
    </xf>
    <xf borderId="73" fillId="8" fontId="17" numFmtId="0" xfId="0" applyAlignment="1" applyBorder="1" applyFont="1">
      <alignment vertical="center"/>
    </xf>
    <xf borderId="74" fillId="8" fontId="17" numFmtId="0" xfId="0" applyAlignment="1" applyBorder="1" applyFont="1">
      <alignment vertical="center"/>
    </xf>
    <xf borderId="75" fillId="8" fontId="17" numFmtId="0" xfId="0" applyAlignment="1" applyBorder="1" applyFont="1">
      <alignment vertical="center"/>
    </xf>
    <xf borderId="0" fillId="0" fontId="15" numFmtId="0" xfId="0" applyAlignment="1" applyFont="1">
      <alignment vertical="top"/>
    </xf>
    <xf borderId="76" fillId="0" fontId="16" numFmtId="0" xfId="0" applyAlignment="1" applyBorder="1" applyFont="1">
      <alignment vertical="center"/>
    </xf>
    <xf borderId="77" fillId="0" fontId="16" numFmtId="0" xfId="0" applyAlignment="1" applyBorder="1" applyFont="1">
      <alignment vertical="center"/>
    </xf>
    <xf borderId="76" fillId="0" fontId="2" numFmtId="0" xfId="0" applyBorder="1" applyFont="1"/>
    <xf borderId="78" fillId="0" fontId="16" numFmtId="0" xfId="0" applyAlignment="1" applyBorder="1" applyFont="1">
      <alignment vertical="center"/>
    </xf>
    <xf borderId="79" fillId="0" fontId="16" numFmtId="0" xfId="0" applyAlignment="1" applyBorder="1" applyFont="1">
      <alignment vertical="center"/>
    </xf>
    <xf borderId="80" fillId="0" fontId="16" numFmtId="0" xfId="0" applyAlignment="1" applyBorder="1" applyFont="1">
      <alignment horizontal="left" shrinkToFit="0" vertical="center" wrapText="1"/>
    </xf>
    <xf borderId="72" fillId="0" fontId="16" numFmtId="0" xfId="0" applyAlignment="1" applyBorder="1" applyFont="1">
      <alignment horizontal="left" shrinkToFit="0" vertical="center" wrapText="1"/>
    </xf>
    <xf borderId="68" fillId="0" fontId="16" numFmtId="0" xfId="0" applyAlignment="1" applyBorder="1" applyFont="1">
      <alignment shrinkToFit="0" vertical="center" wrapText="1"/>
    </xf>
    <xf borderId="81" fillId="0" fontId="2" numFmtId="0" xfId="0" applyBorder="1" applyFont="1"/>
    <xf borderId="82" fillId="8" fontId="17" numFmtId="0" xfId="0" applyAlignment="1" applyBorder="1" applyFont="1">
      <alignment vertical="center"/>
    </xf>
    <xf borderId="83" fillId="0" fontId="16" numFmtId="0" xfId="0" applyAlignment="1" applyBorder="1" applyFont="1">
      <alignment vertical="center"/>
    </xf>
    <xf borderId="84" fillId="0" fontId="2" numFmtId="0" xfId="0" applyBorder="1" applyFont="1"/>
    <xf borderId="85" fillId="0" fontId="2" numFmtId="0" xfId="0" applyBorder="1" applyFont="1"/>
    <xf borderId="86" fillId="9" fontId="18" numFmtId="0" xfId="0" applyAlignment="1" applyBorder="1" applyFill="1" applyFont="1">
      <alignment horizontal="center" textRotation="255" vertical="center"/>
    </xf>
    <xf borderId="73" fillId="9" fontId="17" numFmtId="0" xfId="0" applyAlignment="1" applyBorder="1" applyFont="1">
      <alignment vertical="center"/>
    </xf>
    <xf borderId="74" fillId="9" fontId="17" numFmtId="0" xfId="0" applyAlignment="1" applyBorder="1" applyFont="1">
      <alignment vertical="center"/>
    </xf>
    <xf borderId="75" fillId="9" fontId="17" numFmtId="0" xfId="0" applyAlignment="1" applyBorder="1" applyFont="1">
      <alignment vertical="center"/>
    </xf>
    <xf borderId="87" fillId="0" fontId="16" numFmtId="0" xfId="0" applyAlignment="1" applyBorder="1" applyFont="1">
      <alignment vertical="center"/>
    </xf>
    <xf borderId="69" fillId="0" fontId="16" numFmtId="0" xfId="0" applyAlignment="1" applyBorder="1" applyFont="1">
      <alignment readingOrder="0" vertical="center"/>
    </xf>
    <xf borderId="70" fillId="0" fontId="16" numFmtId="0" xfId="0" applyAlignment="1" applyBorder="1" applyFont="1">
      <alignment horizontal="left" readingOrder="1" shrinkToFit="0" vertical="center" wrapText="1"/>
    </xf>
    <xf borderId="70" fillId="0" fontId="16" numFmtId="0" xfId="0" applyAlignment="1" applyBorder="1" applyFont="1">
      <alignment shrinkToFit="0" vertical="center" wrapText="1"/>
    </xf>
    <xf borderId="70" fillId="0" fontId="16" numFmtId="0" xfId="0" applyAlignment="1" applyBorder="1" applyFont="1">
      <alignment vertical="center"/>
    </xf>
    <xf borderId="87" fillId="0" fontId="16" numFmtId="0" xfId="0" applyAlignment="1" applyBorder="1" applyFont="1">
      <alignment horizontal="center" vertical="center"/>
    </xf>
    <xf borderId="88" fillId="10" fontId="18" numFmtId="0" xfId="0" applyAlignment="1" applyBorder="1" applyFill="1" applyFont="1">
      <alignment horizontal="center" textRotation="255" vertical="center"/>
    </xf>
    <xf borderId="73" fillId="10" fontId="17" numFmtId="0" xfId="0" applyAlignment="1" applyBorder="1" applyFont="1">
      <alignment vertical="center"/>
    </xf>
    <xf borderId="74" fillId="10" fontId="17" numFmtId="0" xfId="0" applyAlignment="1" applyBorder="1" applyFont="1">
      <alignment vertical="center"/>
    </xf>
    <xf borderId="75" fillId="10" fontId="17" numFmtId="0" xfId="0" applyAlignment="1" applyBorder="1" applyFont="1">
      <alignment vertical="center"/>
    </xf>
    <xf borderId="89" fillId="0" fontId="1" numFmtId="0" xfId="0" applyAlignment="1" applyBorder="1" applyFont="1">
      <alignment readingOrder="0"/>
    </xf>
    <xf borderId="90" fillId="0" fontId="2" numFmtId="0" xfId="0" applyBorder="1" applyFont="1"/>
    <xf borderId="91" fillId="0" fontId="2" numFmtId="0" xfId="0" applyBorder="1" applyFont="1"/>
    <xf borderId="92" fillId="0" fontId="16" numFmtId="0" xfId="0" applyAlignment="1" applyBorder="1" applyFont="1">
      <alignment vertical="center"/>
    </xf>
    <xf borderId="93" fillId="0" fontId="16" numFmtId="0" xfId="0" applyAlignment="1" applyBorder="1" applyFont="1">
      <alignment vertical="center"/>
    </xf>
    <xf borderId="0" fillId="0" fontId="15" numFmtId="0" xfId="0" applyFont="1"/>
    <xf borderId="0" fillId="0" fontId="19" numFmtId="0" xfId="0" applyFont="1"/>
    <xf borderId="94" fillId="2" fontId="12" numFmtId="0" xfId="0" applyAlignment="1" applyBorder="1" applyFont="1">
      <alignment horizontal="left" vertical="center"/>
    </xf>
    <xf borderId="74" fillId="0" fontId="2" numFmtId="0" xfId="0" applyBorder="1" applyFont="1"/>
    <xf borderId="75" fillId="0" fontId="2" numFmtId="0" xfId="0" applyBorder="1" applyFont="1"/>
    <xf borderId="95" fillId="7" fontId="20" numFmtId="0" xfId="0" applyAlignment="1" applyBorder="1" applyFont="1">
      <alignment readingOrder="0" shrinkToFit="0" vertical="center" wrapText="1"/>
    </xf>
    <xf borderId="96" fillId="0" fontId="2" numFmtId="0" xfId="0" applyBorder="1" applyFont="1"/>
    <xf borderId="97" fillId="0" fontId="2" numFmtId="0" xfId="0" applyBorder="1" applyFont="1"/>
    <xf borderId="98" fillId="7" fontId="17" numFmtId="0" xfId="0" applyAlignment="1" applyBorder="1" applyFont="1">
      <alignment horizontal="left" vertical="center"/>
    </xf>
    <xf borderId="0" fillId="0" fontId="19" numFmtId="0" xfId="0" applyAlignment="1" applyFont="1">
      <alignment horizontal="left"/>
    </xf>
    <xf borderId="99" fillId="8" fontId="17" numFmtId="0" xfId="0" applyAlignment="1" applyBorder="1" applyFont="1">
      <alignment horizontal="left" vertical="center"/>
    </xf>
    <xf borderId="63" fillId="8" fontId="17" numFmtId="0" xfId="0" applyAlignment="1" applyBorder="1" applyFont="1">
      <alignment horizontal="left" vertical="center"/>
    </xf>
    <xf borderId="100" fillId="8" fontId="17" numFmtId="0" xfId="0" applyAlignment="1" applyBorder="1" applyFont="1">
      <alignment horizontal="left" vertical="center"/>
    </xf>
    <xf borderId="69" fillId="11" fontId="16" numFmtId="0" xfId="0" applyAlignment="1" applyBorder="1" applyFill="1" applyFont="1">
      <alignment vertical="center"/>
    </xf>
    <xf borderId="94" fillId="8" fontId="17" numFmtId="0" xfId="0" applyAlignment="1" applyBorder="1" applyFont="1">
      <alignment horizontal="left" vertical="center"/>
    </xf>
    <xf borderId="74" fillId="8" fontId="17" numFmtId="0" xfId="0" applyAlignment="1" applyBorder="1" applyFont="1">
      <alignment horizontal="left" vertical="center"/>
    </xf>
    <xf borderId="75" fillId="8" fontId="17" numFmtId="0" xfId="0" applyAlignment="1" applyBorder="1" applyFont="1">
      <alignment horizontal="left" vertical="center"/>
    </xf>
    <xf borderId="77" fillId="12" fontId="16" numFmtId="0" xfId="0" applyAlignment="1" applyBorder="1" applyFill="1" applyFont="1">
      <alignment vertical="center"/>
    </xf>
    <xf borderId="78" fillId="12" fontId="16" numFmtId="0" xfId="0" applyAlignment="1" applyBorder="1" applyFont="1">
      <alignment vertical="center"/>
    </xf>
    <xf borderId="94" fillId="0" fontId="16" numFmtId="0" xfId="0" applyAlignment="1" applyBorder="1" applyFont="1">
      <alignment readingOrder="0" vertical="center"/>
    </xf>
    <xf borderId="79" fillId="12" fontId="16" numFmtId="0" xfId="0" applyAlignment="1" applyBorder="1" applyFont="1">
      <alignment vertical="center"/>
    </xf>
    <xf borderId="94" fillId="8" fontId="17" numFmtId="0" xfId="0" applyAlignment="1" applyBorder="1" applyFont="1">
      <alignment vertical="center"/>
    </xf>
    <xf borderId="69" fillId="12" fontId="16" numFmtId="0" xfId="0" applyAlignment="1" applyBorder="1" applyFont="1">
      <alignment vertical="center"/>
    </xf>
    <xf borderId="71" fillId="12" fontId="16" numFmtId="0" xfId="0" applyAlignment="1" applyBorder="1" applyFont="1">
      <alignment vertical="center"/>
    </xf>
    <xf borderId="94" fillId="9" fontId="17" numFmtId="0" xfId="0" applyAlignment="1" applyBorder="1" applyFont="1">
      <alignment vertical="center"/>
    </xf>
    <xf borderId="94" fillId="10" fontId="17" numFmtId="0" xfId="0" applyAlignment="1" applyBorder="1" applyFont="1">
      <alignment vertical="center"/>
    </xf>
    <xf borderId="72" fillId="0" fontId="16" numFmtId="0" xfId="0" applyAlignment="1" applyBorder="1" applyFont="1">
      <alignment vertical="center"/>
    </xf>
    <xf borderId="92" fillId="12" fontId="16" numFmtId="0" xfId="0" applyAlignment="1" applyBorder="1" applyFont="1">
      <alignment vertical="center"/>
    </xf>
    <xf borderId="92" fillId="0" fontId="16" numFmtId="0" xfId="0" applyAlignment="1" applyBorder="1" applyFont="1">
      <alignment readingOrder="0" vertical="center"/>
    </xf>
    <xf borderId="93" fillId="0" fontId="16" numFmtId="0" xfId="0" applyAlignment="1" applyBorder="1" applyFont="1">
      <alignment readingOrder="0" vertical="center"/>
    </xf>
    <xf borderId="101" fillId="2" fontId="12" numFmtId="0" xfId="0" applyAlignment="1" applyBorder="1" applyFont="1">
      <alignment horizontal="left" vertical="center"/>
    </xf>
    <xf borderId="102" fillId="0" fontId="2" numFmtId="0" xfId="0" applyBorder="1" applyFont="1"/>
    <xf borderId="103" fillId="0" fontId="2" numFmtId="0" xfId="0" applyBorder="1" applyFont="1"/>
    <xf borderId="51" fillId="7" fontId="20" numFmtId="2" xfId="0" applyAlignment="1" applyBorder="1" applyFont="1" applyNumberFormat="1">
      <alignment horizontal="left" readingOrder="0" shrinkToFit="0" vertical="center" wrapText="1"/>
    </xf>
    <xf borderId="104" fillId="7" fontId="21" numFmtId="0" xfId="0" applyAlignment="1" applyBorder="1" applyFont="1">
      <alignment vertical="center"/>
    </xf>
    <xf borderId="105" fillId="7" fontId="21" numFmtId="0" xfId="0" applyAlignment="1" applyBorder="1" applyFont="1">
      <alignment readingOrder="0" vertical="center"/>
    </xf>
    <xf borderId="106" fillId="7" fontId="21" numFmtId="0" xfId="0" applyAlignment="1" applyBorder="1" applyFont="1">
      <alignment vertical="center"/>
    </xf>
    <xf borderId="107" fillId="7" fontId="21" numFmtId="0" xfId="0" applyAlignment="1" applyBorder="1" applyFont="1">
      <alignment vertical="center"/>
    </xf>
    <xf borderId="108" fillId="7" fontId="21" numFmtId="0" xfId="0" applyAlignment="1" applyBorder="1" applyFont="1">
      <alignment vertical="center"/>
    </xf>
    <xf borderId="84" fillId="8" fontId="22" numFmtId="0" xfId="0" applyAlignment="1" applyBorder="1" applyFont="1">
      <alignment horizontal="left"/>
    </xf>
    <xf borderId="0" fillId="8" fontId="23" numFmtId="0" xfId="0" applyAlignment="1" applyFont="1">
      <alignment horizontal="left"/>
    </xf>
    <xf borderId="89" fillId="8" fontId="24" numFmtId="0" xfId="0" applyAlignment="1" applyBorder="1" applyFont="1">
      <alignment horizontal="left"/>
    </xf>
    <xf borderId="69" fillId="0" fontId="16" numFmtId="0" xfId="0" applyBorder="1" applyFont="1"/>
    <xf borderId="69" fillId="0" fontId="17" numFmtId="0" xfId="0" applyBorder="1" applyFont="1"/>
    <xf borderId="70" fillId="0" fontId="16" numFmtId="0" xfId="0" applyBorder="1" applyFont="1"/>
    <xf borderId="73" fillId="0" fontId="16" numFmtId="0" xfId="0" applyBorder="1" applyFont="1"/>
    <xf borderId="83" fillId="0" fontId="16" numFmtId="0" xfId="0" applyBorder="1" applyFont="1"/>
    <xf borderId="69" fillId="4" fontId="16" numFmtId="0" xfId="0" applyBorder="1" applyFont="1"/>
    <xf borderId="109" fillId="0" fontId="16" numFmtId="0" xfId="0" applyBorder="1" applyFont="1"/>
    <xf borderId="110" fillId="0" fontId="16" numFmtId="0" xfId="0" applyBorder="1" applyFont="1"/>
    <xf borderId="92" fillId="0" fontId="16" numFmtId="0" xfId="0" applyBorder="1" applyFont="1"/>
    <xf borderId="92" fillId="0" fontId="17" numFmtId="0" xfId="0" applyBorder="1" applyFont="1"/>
    <xf borderId="93" fillId="0" fontId="16" numFmtId="0" xfId="0" applyBorder="1" applyFont="1"/>
    <xf borderId="54" fillId="7" fontId="21" numFmtId="0" xfId="0" applyBorder="1" applyFont="1"/>
    <xf borderId="111" fillId="7" fontId="21" numFmtId="0" xfId="0" applyAlignment="1" applyBorder="1" applyFont="1">
      <alignment readingOrder="0" vertical="center"/>
    </xf>
    <xf borderId="112" fillId="7" fontId="21" numFmtId="0" xfId="0" applyBorder="1" applyFont="1"/>
    <xf borderId="113" fillId="7" fontId="21" numFmtId="0" xfId="0" applyBorder="1" applyFont="1"/>
    <xf borderId="113" fillId="7" fontId="16" numFmtId="0" xfId="0" applyBorder="1" applyFont="1"/>
    <xf borderId="114" fillId="7" fontId="21" numFmtId="0" xfId="0" applyBorder="1" applyFont="1"/>
    <xf borderId="62" fillId="8" fontId="25" numFmtId="0" xfId="0" applyAlignment="1" applyBorder="1" applyFont="1">
      <alignment horizontal="left"/>
    </xf>
    <xf borderId="63" fillId="0" fontId="2" numFmtId="0" xfId="0" applyBorder="1" applyFont="1"/>
    <xf borderId="64" fillId="0" fontId="2" numFmtId="0" xfId="0" applyBorder="1" applyFont="1"/>
    <xf borderId="78" fillId="0" fontId="16" numFmtId="0" xfId="0" applyBorder="1" applyFont="1"/>
    <xf borderId="69" fillId="11" fontId="16" numFmtId="0" xfId="0" applyBorder="1" applyFont="1"/>
    <xf borderId="69" fillId="13" fontId="16" numFmtId="0" xfId="0" applyBorder="1" applyFill="1" applyFont="1"/>
    <xf borderId="69" fillId="11" fontId="17" numFmtId="0" xfId="0" applyBorder="1" applyFont="1"/>
    <xf borderId="0" fillId="0" fontId="16" numFmtId="0" xfId="0" applyFont="1"/>
    <xf borderId="73" fillId="8" fontId="26" numFmtId="0" xfId="0" applyAlignment="1" applyBorder="1" applyFont="1">
      <alignment horizontal="left"/>
    </xf>
    <xf borderId="69" fillId="14" fontId="16" numFmtId="0" xfId="0" applyBorder="1" applyFill="1" applyFont="1"/>
    <xf borderId="69" fillId="15" fontId="16" numFmtId="0" xfId="0" applyBorder="1" applyFill="1" applyFont="1"/>
    <xf borderId="91" fillId="0" fontId="16" numFmtId="0" xfId="0" applyBorder="1" applyFont="1"/>
    <xf borderId="115" fillId="0" fontId="16" numFmtId="0" xfId="0" applyBorder="1" applyFont="1"/>
    <xf borderId="116" fillId="11" fontId="16" numFmtId="0" xfId="0" applyBorder="1" applyFont="1"/>
    <xf borderId="117" fillId="0" fontId="16" numFmtId="0" xfId="0" applyBorder="1" applyFont="1"/>
    <xf borderId="116" fillId="13" fontId="16" numFmtId="0" xfId="0" applyBorder="1" applyFont="1"/>
    <xf borderId="116" fillId="11" fontId="17" numFmtId="0" xfId="0" applyBorder="1" applyFont="1"/>
    <xf borderId="51" fillId="7" fontId="20" numFmtId="0" xfId="0" applyAlignment="1" applyBorder="1" applyFont="1">
      <alignment horizontal="left" shrinkToFit="0" vertical="center" wrapText="1"/>
    </xf>
    <xf borderId="118" fillId="7" fontId="21" numFmtId="0" xfId="0" applyBorder="1" applyFont="1"/>
    <xf borderId="119" fillId="7" fontId="21" numFmtId="0" xfId="0" applyBorder="1" applyFont="1"/>
    <xf borderId="120" fillId="10" fontId="27" numFmtId="0" xfId="0" applyAlignment="1" applyBorder="1" applyFont="1">
      <alignment horizontal="left"/>
    </xf>
    <xf borderId="121" fillId="0" fontId="2" numFmtId="0" xfId="0" applyBorder="1" applyFont="1"/>
    <xf borderId="69" fillId="0" fontId="16" numFmtId="0" xfId="0" applyAlignment="1" applyBorder="1" applyFont="1">
      <alignment readingOrder="0"/>
    </xf>
    <xf borderId="122" fillId="7" fontId="21" numFmtId="0" xfId="0" applyBorder="1" applyFont="1"/>
    <xf borderId="123" fillId="7" fontId="21" numFmtId="0" xfId="0" applyBorder="1" applyFont="1"/>
    <xf borderId="123" fillId="7" fontId="16" numFmtId="0" xfId="0" applyBorder="1" applyFont="1"/>
    <xf borderId="124" fillId="7" fontId="21" numFmtId="0" xfId="0" applyBorder="1" applyFont="1"/>
    <xf borderId="125" fillId="10" fontId="28" numFmtId="0" xfId="0" applyAlignment="1" applyBorder="1" applyFont="1">
      <alignment horizontal="left"/>
    </xf>
    <xf borderId="126" fillId="0" fontId="2" numFmtId="0" xfId="0" applyBorder="1" applyFont="1"/>
    <xf borderId="127" fillId="0" fontId="2" numFmtId="0" xfId="0" applyBorder="1" applyFont="1"/>
    <xf borderId="87" fillId="0" fontId="16" numFmtId="0" xfId="0" applyBorder="1" applyFont="1"/>
    <xf borderId="128" fillId="11" fontId="16" numFmtId="0" xfId="0" applyBorder="1" applyFont="1"/>
    <xf borderId="71" fillId="0" fontId="16" numFmtId="0" xfId="0" applyBorder="1" applyFont="1"/>
    <xf borderId="128" fillId="13" fontId="16" numFmtId="0" xfId="0" applyBorder="1" applyFont="1"/>
    <xf borderId="128" fillId="11" fontId="17" numFmtId="0" xfId="0" applyBorder="1" applyFont="1"/>
    <xf borderId="92" fillId="11" fontId="16" numFmtId="0" xfId="0" applyBorder="1" applyFont="1"/>
    <xf borderId="92" fillId="13" fontId="16" numFmtId="0" xfId="0" applyBorder="1" applyFont="1"/>
    <xf borderId="92" fillId="11" fontId="17" numFmtId="0" xfId="0" applyBorder="1" applyFont="1"/>
    <xf borderId="0" fillId="0" fontId="20" numFmtId="0" xfId="0" applyFont="1"/>
    <xf borderId="118" fillId="7" fontId="17" numFmtId="0" xfId="0" applyBorder="1" applyFont="1"/>
    <xf borderId="119" fillId="7" fontId="17" numFmtId="0" xfId="0" applyBorder="1" applyFont="1"/>
    <xf borderId="113" fillId="7" fontId="17" numFmtId="0" xfId="0" applyBorder="1" applyFont="1"/>
    <xf borderId="114" fillId="7" fontId="17" numFmtId="0" xfId="0" applyBorder="1" applyFont="1"/>
    <xf borderId="120" fillId="16" fontId="29" numFmtId="0" xfId="0" applyAlignment="1" applyBorder="1" applyFill="1" applyFont="1">
      <alignment horizontal="left"/>
    </xf>
    <xf borderId="122" fillId="7" fontId="17" numFmtId="0" xfId="0" applyAlignment="1" applyBorder="1" applyFont="1">
      <alignment vertical="center"/>
    </xf>
    <xf borderId="123" fillId="7" fontId="17" numFmtId="0" xfId="0" applyAlignment="1" applyBorder="1" applyFont="1">
      <alignment vertical="center"/>
    </xf>
    <xf borderId="123" fillId="7" fontId="16" numFmtId="0" xfId="0" applyAlignment="1" applyBorder="1" applyFont="1">
      <alignment vertical="center"/>
    </xf>
    <xf borderId="124" fillId="7" fontId="17" numFmtId="0" xfId="0" applyAlignment="1" applyBorder="1" applyFont="1">
      <alignment vertical="center"/>
    </xf>
    <xf borderId="125" fillId="16" fontId="30" numFmtId="0" xfId="0" applyAlignment="1" applyBorder="1" applyFont="1">
      <alignment horizontal="left"/>
    </xf>
    <xf borderId="74" fillId="0" fontId="16" numFmtId="0" xfId="0" applyBorder="1" applyFont="1"/>
    <xf borderId="129" fillId="14" fontId="16" numFmtId="0" xfId="0" applyBorder="1" applyFont="1"/>
    <xf borderId="67" fillId="0" fontId="16" numFmtId="0" xfId="0" applyBorder="1" applyFont="1"/>
    <xf borderId="129" fillId="11" fontId="16" numFmtId="0" xfId="0" applyBorder="1" applyFont="1"/>
    <xf borderId="129" fillId="13" fontId="16" numFmtId="0" xfId="0" applyBorder="1" applyFont="1"/>
    <xf borderId="129" fillId="11" fontId="17" numFmtId="0" xfId="0" applyBorder="1" applyFont="1"/>
    <xf borderId="73" fillId="16" fontId="31" numFmtId="0" xfId="0" applyAlignment="1" applyBorder="1" applyFont="1">
      <alignment horizontal="left"/>
    </xf>
    <xf borderId="128" fillId="14" fontId="16" numFmtId="0" xfId="0" applyBorder="1" applyFont="1"/>
    <xf borderId="92" fillId="14" fontId="16" numFmtId="0" xfId="0" applyBorder="1" applyFont="1"/>
    <xf borderId="101" fillId="7" fontId="20" numFmtId="0" xfId="0" applyAlignment="1" applyBorder="1" applyFont="1">
      <alignment horizontal="left" shrinkToFit="0" vertical="center" wrapText="1"/>
    </xf>
    <xf borderId="113" fillId="7" fontId="17" numFmtId="0" xfId="0" applyAlignment="1" applyBorder="1" applyFont="1">
      <alignment horizontal="left" vertical="center"/>
    </xf>
    <xf borderId="114" fillId="0" fontId="17" numFmtId="0" xfId="0" applyAlignment="1" applyBorder="1" applyFont="1">
      <alignment horizontal="left"/>
    </xf>
    <xf borderId="57" fillId="8" fontId="21" numFmtId="0" xfId="0" applyAlignment="1" applyBorder="1" applyFont="1">
      <alignment horizontal="left" vertical="center"/>
    </xf>
    <xf borderId="130" fillId="8" fontId="17" numFmtId="0" xfId="0" applyAlignment="1" applyBorder="1" applyFont="1">
      <alignment horizontal="center" vertical="center"/>
    </xf>
    <xf borderId="131" fillId="8" fontId="17" numFmtId="0" xfId="0" applyAlignment="1" applyBorder="1" applyFont="1">
      <alignment horizontal="center" vertical="center"/>
    </xf>
    <xf borderId="57" fillId="9" fontId="21" numFmtId="0" xfId="0" applyAlignment="1" applyBorder="1" applyFont="1">
      <alignment horizontal="left" vertical="center"/>
    </xf>
    <xf borderId="130" fillId="9" fontId="16" numFmtId="0" xfId="0" applyAlignment="1" applyBorder="1" applyFont="1">
      <alignment vertical="center"/>
    </xf>
    <xf borderId="131" fillId="9" fontId="16" numFmtId="0" xfId="0" applyAlignment="1" applyBorder="1" applyFont="1">
      <alignment vertical="center"/>
    </xf>
    <xf borderId="99" fillId="9" fontId="17" numFmtId="0" xfId="0" applyAlignment="1" applyBorder="1" applyFont="1">
      <alignment horizontal="left" vertical="center"/>
    </xf>
    <xf borderId="94" fillId="9" fontId="17" numFmtId="0" xfId="0" applyAlignment="1" applyBorder="1" applyFont="1">
      <alignment horizontal="left" vertical="center"/>
    </xf>
    <xf borderId="57" fillId="10" fontId="21" numFmtId="0" xfId="0" applyAlignment="1" applyBorder="1" applyFont="1">
      <alignment vertical="center"/>
    </xf>
    <xf borderId="130" fillId="10" fontId="16" numFmtId="0" xfId="0" applyAlignment="1" applyBorder="1" applyFont="1">
      <alignment vertical="center"/>
    </xf>
    <xf borderId="131" fillId="10" fontId="16" numFmtId="0" xfId="0" applyAlignment="1" applyBorder="1" applyFont="1">
      <alignment vertical="center"/>
    </xf>
    <xf borderId="99" fillId="10" fontId="17" numFmtId="0" xfId="0" applyAlignment="1" applyBorder="1" applyFont="1">
      <alignment horizontal="left" vertical="center"/>
    </xf>
    <xf borderId="132" fillId="0" fontId="15" numFmtId="0" xfId="0" applyAlignment="1" applyBorder="1" applyFont="1">
      <alignment vertical="center"/>
    </xf>
    <xf borderId="0" fillId="0" fontId="1" numFmtId="0" xfId="0" applyAlignment="1" applyFont="1">
      <alignment readingOrder="0"/>
    </xf>
    <xf borderId="94" fillId="17" fontId="32" numFmtId="0" xfId="0" applyAlignment="1" applyBorder="1" applyFill="1" applyFont="1">
      <alignment horizontal="center"/>
    </xf>
    <xf borderId="78" fillId="0" fontId="2" numFmtId="0" xfId="0" applyBorder="1" applyFont="1"/>
    <xf borderId="128" fillId="17" fontId="33" numFmtId="0" xfId="0" applyAlignment="1" applyBorder="1" applyFont="1">
      <alignment horizontal="center"/>
    </xf>
    <xf borderId="69" fillId="0" fontId="19" numFmtId="0" xfId="0" applyBorder="1" applyFont="1"/>
    <xf borderId="69" fillId="17" fontId="34" numFmtId="0" xfId="0" applyAlignment="1" applyBorder="1" applyFont="1">
      <alignment horizontal="center"/>
    </xf>
    <xf borderId="69" fillId="7" fontId="19" numFmtId="0" xfId="0" applyBorder="1" applyFont="1"/>
  </cellXfs>
  <cellStyles count="1">
    <cellStyle xfId="0" name="Normal" builtinId="0"/>
  </cellStyles>
  <dxfs count="9">
    <dxf>
      <font/>
      <fill>
        <patternFill patternType="solid">
          <fgColor rgb="FFFF6E57"/>
          <bgColor rgb="FFFF6E57"/>
        </patternFill>
      </fill>
      <border/>
    </dxf>
    <dxf>
      <font/>
      <fill>
        <patternFill patternType="solid">
          <fgColor rgb="FFFFE598"/>
          <bgColor rgb="FFFFE598"/>
        </patternFill>
      </fill>
      <border/>
    </dxf>
    <dxf>
      <font/>
      <fill>
        <patternFill patternType="solid">
          <fgColor rgb="FFC5E0B3"/>
          <bgColor rgb="FFC5E0B3"/>
        </patternFill>
      </fill>
      <border/>
    </dxf>
    <dxf>
      <font/>
      <fill>
        <patternFill patternType="solid">
          <fgColor rgb="FFF4B083"/>
          <bgColor rgb="FFF4B083"/>
        </patternFill>
      </fill>
      <border/>
    </dxf>
    <dxf>
      <font>
        <strike/>
      </font>
      <numFmt numFmtId="0" formatCode="&quot;No entry&quot;"/>
      <fill>
        <patternFill patternType="solid">
          <fgColor rgb="FFD8D8D8"/>
          <bgColor rgb="FFD8D8D8"/>
        </patternFill>
      </fill>
      <border/>
    </dxf>
    <dxf>
      <font>
        <strike/>
      </font>
      <fill>
        <patternFill patternType="solid">
          <fgColor rgb="FFD0CECE"/>
          <bgColor rgb="FFD0CECE"/>
        </patternFill>
      </fill>
      <border/>
    </dxf>
    <dxf>
      <font>
        <u/>
      </font>
      <fill>
        <patternFill patternType="solid">
          <fgColor rgb="FFFF6E57"/>
          <bgColor rgb="FFFF6E57"/>
        </patternFill>
      </fill>
      <border/>
    </dxf>
    <dxf>
      <font/>
      <fill>
        <patternFill patternType="solid">
          <fgColor rgb="FFFF6600"/>
          <bgColor rgb="FFFF6600"/>
        </patternFill>
      </fill>
      <border/>
    </dxf>
    <dxf>
      <font/>
      <fill>
        <patternFill patternType="solid">
          <fgColor rgb="FFFFD965"/>
          <bgColor rgb="FFFFD96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Impact Materiality</a:t>
            </a:r>
          </a:p>
        </c:rich>
      </c:tx>
      <c:overlay val="0"/>
    </c:title>
    <c:plotArea>
      <c:layout/>
      <c:bubbleChart>
        <c:ser>
          <c:idx val="0"/>
          <c:order val="0"/>
          <c:tx>
            <c:strRef>
              <c:f>'3. DMA Environmental'!$A$5</c:f>
            </c:strRef>
          </c:tx>
          <c:dLbls>
            <c:dLblPos val="ctr"/>
            <c:showLegendKey val="0"/>
            <c:showVal val="0"/>
            <c:showCatName val="0"/>
            <c:showSerName val="1"/>
            <c:showPercent val="0"/>
            <c:showBubbleSize val="0"/>
          </c:dLbls>
          <c:xVal>
            <c:strRef>
              <c:f>'3. DMA Environmental'!$F$5</c:f>
            </c:strRef>
          </c:xVal>
          <c:yVal>
            <c:numRef>
              <c:f>'3. DMA Environmental'!$I$5</c:f>
              <c:numCache/>
            </c:numRef>
          </c:yVal>
          <c:bubbleSize>
            <c:numRef>
              <c:f>'3. DMA Environmental'!$N$5</c:f>
            </c:numRef>
          </c:bubbleSize>
        </c:ser>
        <c:ser>
          <c:idx val="1"/>
          <c:order val="1"/>
          <c:tx>
            <c:strRef>
              <c:f>'3. DMA Environmental'!$A$6</c:f>
            </c:strRef>
          </c:tx>
          <c:dLbls>
            <c:dLblPos val="ctr"/>
            <c:showLegendKey val="0"/>
            <c:showVal val="0"/>
            <c:showCatName val="0"/>
            <c:showSerName val="1"/>
            <c:showPercent val="0"/>
            <c:showBubbleSize val="0"/>
          </c:dLbls>
          <c:xVal>
            <c:strRef>
              <c:f>'3. DMA Environmental'!$F$6</c:f>
            </c:strRef>
          </c:xVal>
          <c:yVal>
            <c:numRef>
              <c:f>'3. DMA Environmental'!$I$6</c:f>
              <c:numCache/>
            </c:numRef>
          </c:yVal>
          <c:bubbleSize>
            <c:numRef>
              <c:f>'3. DMA Environmental'!$N$6</c:f>
            </c:numRef>
          </c:bubbleSize>
        </c:ser>
        <c:ser>
          <c:idx val="2"/>
          <c:order val="2"/>
          <c:tx>
            <c:strRef>
              <c:f>'3. DMA Environmental'!$A$7</c:f>
            </c:strRef>
          </c:tx>
          <c:dLbls>
            <c:dLblPos val="ctr"/>
            <c:showLegendKey val="0"/>
            <c:showVal val="0"/>
            <c:showCatName val="0"/>
            <c:showSerName val="1"/>
            <c:showPercent val="0"/>
            <c:showBubbleSize val="0"/>
          </c:dLbls>
          <c:xVal>
            <c:strRef>
              <c:f>'3. DMA Environmental'!$F$7</c:f>
            </c:strRef>
          </c:xVal>
          <c:yVal>
            <c:numRef>
              <c:f>'3. DMA Environmental'!$I$7</c:f>
              <c:numCache/>
            </c:numRef>
          </c:yVal>
          <c:bubbleSize>
            <c:numRef>
              <c:f>'3. DMA Environmental'!$N$7</c:f>
            </c:numRef>
          </c:bubbleSize>
        </c:ser>
        <c:axId val="75441750"/>
        <c:axId val="1712370399"/>
      </c:bubbleChart>
      <c:valAx>
        <c:axId val="75441750"/>
        <c:scaling>
          <c:orientation val="minMax"/>
          <c:max val="4.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Scale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12370399"/>
        <c:majorUnit val="0.5"/>
      </c:valAx>
      <c:valAx>
        <c:axId val="1712370399"/>
        <c:scaling>
          <c:orientation val="minMax"/>
          <c:max val="4.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Scope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5441750"/>
      </c:valAx>
      <c:spPr>
        <a:solidFill>
          <a:schemeClr val="accent6"/>
        </a:solidFill>
      </c:spPr>
    </c:plotArea>
    <c:plotVisOnly val="0"/>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Financial Materiality</a:t>
            </a:r>
          </a:p>
        </c:rich>
      </c:tx>
      <c:overlay val="0"/>
    </c:title>
    <c:plotArea>
      <c:layout/>
      <c:bubbleChart>
        <c:ser>
          <c:idx val="0"/>
          <c:order val="0"/>
          <c:tx>
            <c:strRef>
              <c:f>'3. DMA Environmental'!$A$31</c:f>
            </c:strRef>
          </c:tx>
          <c:dLbls>
            <c:dLblPos val="ctr"/>
            <c:showLegendKey val="0"/>
            <c:showVal val="0"/>
            <c:showCatName val="0"/>
            <c:showSerName val="1"/>
            <c:showPercent val="0"/>
            <c:showBubbleSize val="0"/>
          </c:dLbls>
          <c:xVal>
            <c:strRef>
              <c:f>'3. DMA Environmental'!$E$31</c:f>
            </c:strRef>
          </c:xVal>
          <c:yVal>
            <c:numRef>
              <c:f>'3. DMA Environmental'!$H$31</c:f>
              <c:numCache/>
            </c:numRef>
          </c:yVal>
          <c:bubbleSize>
            <c:numRef>
              <c:f>'3. DMA Environmental'!$N$31</c:f>
            </c:numRef>
          </c:bubbleSize>
        </c:ser>
        <c:ser>
          <c:idx val="1"/>
          <c:order val="1"/>
          <c:tx>
            <c:strRef>
              <c:f>'3. DMA Environmental'!$A$32</c:f>
            </c:strRef>
          </c:tx>
          <c:dLbls>
            <c:dLblPos val="ctr"/>
            <c:showLegendKey val="0"/>
            <c:showVal val="0"/>
            <c:showCatName val="0"/>
            <c:showSerName val="1"/>
            <c:showPercent val="0"/>
            <c:showBubbleSize val="0"/>
          </c:dLbls>
          <c:xVal>
            <c:strRef>
              <c:f>'3. DMA Environmental'!$E$32</c:f>
            </c:strRef>
          </c:xVal>
          <c:yVal>
            <c:numRef>
              <c:f>'3. DMA Environmental'!$H$32</c:f>
              <c:numCache/>
            </c:numRef>
          </c:yVal>
          <c:bubbleSize>
            <c:numRef>
              <c:f>'3. DMA Environmental'!$N$32</c:f>
            </c:numRef>
          </c:bubbleSize>
        </c:ser>
        <c:axId val="471300169"/>
        <c:axId val="1762295116"/>
      </c:bubbleChart>
      <c:valAx>
        <c:axId val="471300169"/>
        <c:scaling>
          <c:orientation val="minMax"/>
          <c:max val="8.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Likelihood of Occurence</a:t>
                </a:r>
              </a:p>
            </c:rich>
          </c:tx>
          <c:overlay val="0"/>
        </c:title>
        <c:numFmt formatCode="#.##0;\-#.##0" sourceLinked="0"/>
        <c:majorTickMark val="none"/>
        <c:minorTickMark val="none"/>
        <c:tickLblPos val="nextTo"/>
        <c:spPr>
          <a:ln/>
        </c:spPr>
        <c:txPr>
          <a:bodyPr/>
          <a:lstStyle/>
          <a:p>
            <a:pPr lvl="0">
              <a:defRPr b="0" i="0" sz="900">
                <a:solidFill>
                  <a:srgbClr val="000000"/>
                </a:solidFill>
                <a:latin typeface="+mn-lt"/>
              </a:defRPr>
            </a:pPr>
          </a:p>
        </c:txPr>
        <c:crossAx val="1762295116"/>
        <c:majorUnit val="1.0"/>
      </c:valAx>
      <c:valAx>
        <c:axId val="1762295116"/>
        <c:scaling>
          <c:orientation val="minMax"/>
          <c:max val="8.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Potential Magnitude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471300169"/>
        <c:majorUnit val="1.0"/>
      </c:valAx>
      <c:spPr>
        <a:solidFill>
          <a:schemeClr val="accent6"/>
        </a:solidFill>
      </c:spPr>
    </c:plotArea>
    <c:plotVisOnly val="0"/>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Impact Materiality</a:t>
            </a:r>
          </a:p>
        </c:rich>
      </c:tx>
      <c:overlay val="0"/>
    </c:title>
    <c:plotArea>
      <c:layout/>
      <c:bubbleChart>
        <c:ser>
          <c:idx val="0"/>
          <c:order val="0"/>
          <c:tx>
            <c:strRef>
              <c:f>'5. DMA Governance'!$A$5</c:f>
            </c:strRef>
          </c:tx>
          <c:dLbls>
            <c:dLblPos val="ctr"/>
            <c:showLegendKey val="0"/>
            <c:showVal val="0"/>
            <c:showCatName val="0"/>
            <c:showSerName val="1"/>
            <c:showPercent val="0"/>
            <c:showBubbleSize val="0"/>
          </c:dLbls>
          <c:xVal>
            <c:strRef>
              <c:f>'5. DMA Governance'!$E$5</c:f>
            </c:strRef>
          </c:xVal>
          <c:yVal>
            <c:numRef>
              <c:f>'5. DMA Governance'!$H$5</c:f>
              <c:numCache/>
            </c:numRef>
          </c:yVal>
          <c:bubbleSize>
            <c:numRef>
              <c:f>'5. DMA Governance'!$M$5</c:f>
            </c:numRef>
          </c:bubbleSize>
        </c:ser>
        <c:ser>
          <c:idx val="1"/>
          <c:order val="1"/>
          <c:tx>
            <c:strRef>
              <c:f>'5. DMA Governance'!$A$6</c:f>
            </c:strRef>
          </c:tx>
          <c:dLbls>
            <c:dLblPos val="ctr"/>
            <c:showLegendKey val="0"/>
            <c:showVal val="0"/>
            <c:showCatName val="0"/>
            <c:showSerName val="1"/>
            <c:showPercent val="0"/>
            <c:showBubbleSize val="0"/>
          </c:dLbls>
          <c:xVal>
            <c:strRef>
              <c:f>'5. DMA Governance'!$E$6</c:f>
            </c:strRef>
          </c:xVal>
          <c:yVal>
            <c:numRef>
              <c:f>'5. DMA Governance'!$H$6</c:f>
              <c:numCache/>
            </c:numRef>
          </c:yVal>
          <c:bubbleSize>
            <c:numRef>
              <c:f>'5. DMA Governance'!$M$6</c:f>
            </c:numRef>
          </c:bubbleSize>
        </c:ser>
        <c:ser>
          <c:idx val="2"/>
          <c:order val="2"/>
          <c:tx>
            <c:strRef>
              <c:f>'5. DMA Governance'!$A$7</c:f>
            </c:strRef>
          </c:tx>
          <c:dLbls>
            <c:dLblPos val="ctr"/>
            <c:showLegendKey val="0"/>
            <c:showVal val="0"/>
            <c:showCatName val="0"/>
            <c:showSerName val="1"/>
            <c:showPercent val="0"/>
            <c:showBubbleSize val="0"/>
          </c:dLbls>
          <c:xVal>
            <c:strRef>
              <c:f>'5. DMA Governance'!$E$7</c:f>
            </c:strRef>
          </c:xVal>
          <c:yVal>
            <c:numRef>
              <c:f>'5. DMA Governance'!$H$7</c:f>
              <c:numCache/>
            </c:numRef>
          </c:yVal>
          <c:bubbleSize>
            <c:numRef>
              <c:f>'5. DMA Governance'!$M$7</c:f>
            </c:numRef>
          </c:bubbleSize>
        </c:ser>
        <c:axId val="1335855501"/>
        <c:axId val="694713773"/>
      </c:bubbleChart>
      <c:valAx>
        <c:axId val="1335855501"/>
        <c:scaling>
          <c:orientation val="minMax"/>
          <c:max val="4.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Scale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94713773"/>
        <c:majorUnit val="0.5"/>
      </c:valAx>
      <c:valAx>
        <c:axId val="694713773"/>
        <c:scaling>
          <c:orientation val="minMax"/>
          <c:max val="4.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Scope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335855501"/>
        <c:majorUnit val="0.5"/>
      </c:valAx>
      <c:spPr>
        <a:solidFill>
          <a:schemeClr val="accent6"/>
        </a:solidFill>
      </c:spPr>
    </c:plotArea>
    <c:plotVisOnly val="0"/>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Financial Materiality</a:t>
            </a:r>
          </a:p>
        </c:rich>
      </c:tx>
      <c:overlay val="0"/>
    </c:title>
    <c:plotArea>
      <c:layout/>
      <c:bubbleChart>
        <c:ser>
          <c:idx val="0"/>
          <c:order val="0"/>
          <c:tx>
            <c:strRef>
              <c:f>'5. DMA Governance'!$A$12</c:f>
            </c:strRef>
          </c:tx>
          <c:dLbls>
            <c:dLblPos val="ctr"/>
            <c:showLegendKey val="0"/>
            <c:showVal val="0"/>
            <c:showCatName val="0"/>
            <c:showSerName val="1"/>
            <c:showPercent val="0"/>
            <c:showBubbleSize val="0"/>
          </c:dLbls>
          <c:xVal>
            <c:strRef>
              <c:f>'5. DMA Governance'!$D$12</c:f>
            </c:strRef>
          </c:xVal>
          <c:yVal>
            <c:numRef>
              <c:f>'5. DMA Governance'!$G$12</c:f>
              <c:numCache/>
            </c:numRef>
          </c:yVal>
          <c:bubbleSize>
            <c:numRef>
              <c:f>'5. DMA Governance'!$M$12</c:f>
            </c:numRef>
          </c:bubbleSize>
        </c:ser>
        <c:ser>
          <c:idx val="1"/>
          <c:order val="1"/>
          <c:tx>
            <c:strRef>
              <c:f>'5. DMA Governance'!$A$13</c:f>
            </c:strRef>
          </c:tx>
          <c:dLbls>
            <c:dLblPos val="ctr"/>
            <c:showLegendKey val="0"/>
            <c:showVal val="0"/>
            <c:showCatName val="0"/>
            <c:showSerName val="1"/>
            <c:showPercent val="0"/>
            <c:showBubbleSize val="0"/>
          </c:dLbls>
          <c:xVal>
            <c:strRef>
              <c:f>'5. DMA Governance'!$D$13</c:f>
            </c:strRef>
          </c:xVal>
          <c:yVal>
            <c:numRef>
              <c:f>'5. DMA Governance'!$G$13</c:f>
              <c:numCache/>
            </c:numRef>
          </c:yVal>
          <c:bubbleSize>
            <c:numRef>
              <c:f>'5. DMA Governance'!$M$13</c:f>
            </c:numRef>
          </c:bubbleSize>
        </c:ser>
        <c:axId val="1494240514"/>
        <c:axId val="999830587"/>
      </c:bubbleChart>
      <c:valAx>
        <c:axId val="1494240514"/>
        <c:scaling>
          <c:orientation val="minMax"/>
          <c:max val="8.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Likelihood of Occurence</a:t>
                </a:r>
              </a:p>
            </c:rich>
          </c:tx>
          <c:overlay val="0"/>
        </c:title>
        <c:numFmt formatCode="#.##0;\-#.##0" sourceLinked="0"/>
        <c:majorTickMark val="none"/>
        <c:minorTickMark val="none"/>
        <c:tickLblPos val="nextTo"/>
        <c:spPr>
          <a:ln/>
        </c:spPr>
        <c:txPr>
          <a:bodyPr/>
          <a:lstStyle/>
          <a:p>
            <a:pPr lvl="0">
              <a:defRPr b="0" i="0" sz="900">
                <a:solidFill>
                  <a:srgbClr val="000000"/>
                </a:solidFill>
                <a:latin typeface="+mn-lt"/>
              </a:defRPr>
            </a:pPr>
          </a:p>
        </c:txPr>
        <c:crossAx val="999830587"/>
        <c:majorUnit val="1.0"/>
      </c:valAx>
      <c:valAx>
        <c:axId val="999830587"/>
        <c:scaling>
          <c:orientation val="minMax"/>
          <c:max val="8.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Potential Magnitude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494240514"/>
        <c:majorUnit val="1.0"/>
      </c:valAx>
      <c:spPr>
        <a:solidFill>
          <a:schemeClr val="accent6"/>
        </a:solidFill>
      </c:spPr>
    </c:plotArea>
    <c:plotVisOnly val="0"/>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Impact Materiality</a:t>
            </a:r>
          </a:p>
        </c:rich>
      </c:tx>
      <c:overlay val="0"/>
    </c:title>
    <c:plotArea>
      <c:layout/>
      <c:bubbleChart>
        <c:ser>
          <c:idx val="0"/>
          <c:order val="0"/>
          <c:tx>
            <c:strRef>
              <c:f>'4. DMA Social'!$A$5</c:f>
            </c:strRef>
          </c:tx>
          <c:dLbls>
            <c:dLblPos val="ctr"/>
            <c:showLegendKey val="0"/>
            <c:showVal val="0"/>
            <c:showCatName val="0"/>
            <c:showSerName val="1"/>
            <c:showPercent val="0"/>
            <c:showBubbleSize val="0"/>
          </c:dLbls>
          <c:xVal>
            <c:strRef>
              <c:f>'4. DMA Social'!$E$5</c:f>
            </c:strRef>
          </c:xVal>
          <c:yVal>
            <c:numRef>
              <c:f>'4. DMA Social'!$H$5</c:f>
              <c:numCache/>
            </c:numRef>
          </c:yVal>
          <c:bubbleSize>
            <c:numRef>
              <c:f>'4. DMA Social'!$M$5</c:f>
            </c:numRef>
          </c:bubbleSize>
        </c:ser>
        <c:ser>
          <c:idx val="1"/>
          <c:order val="1"/>
          <c:tx>
            <c:strRef>
              <c:f>'4. DMA Social'!$A$6</c:f>
            </c:strRef>
          </c:tx>
          <c:dLbls>
            <c:dLblPos val="ctr"/>
            <c:showLegendKey val="0"/>
            <c:showVal val="0"/>
            <c:showCatName val="0"/>
            <c:showSerName val="1"/>
            <c:showPercent val="0"/>
            <c:showBubbleSize val="0"/>
          </c:dLbls>
          <c:xVal>
            <c:strRef>
              <c:f>'4. DMA Social'!$E$6</c:f>
            </c:strRef>
          </c:xVal>
          <c:yVal>
            <c:numRef>
              <c:f>'4. DMA Social'!$H$6</c:f>
              <c:numCache/>
            </c:numRef>
          </c:yVal>
          <c:bubbleSize>
            <c:numRef>
              <c:f>'4. DMA Social'!$M$6</c:f>
            </c:numRef>
          </c:bubbleSize>
        </c:ser>
        <c:ser>
          <c:idx val="2"/>
          <c:order val="2"/>
          <c:tx>
            <c:strRef>
              <c:f>'4. DMA Social'!$A$7</c:f>
            </c:strRef>
          </c:tx>
          <c:dLbls>
            <c:dLblPos val="ctr"/>
            <c:showLegendKey val="0"/>
            <c:showVal val="0"/>
            <c:showCatName val="0"/>
            <c:showSerName val="1"/>
            <c:showPercent val="0"/>
            <c:showBubbleSize val="0"/>
          </c:dLbls>
          <c:xVal>
            <c:strRef>
              <c:f>'4. DMA Social'!$E$7</c:f>
            </c:strRef>
          </c:xVal>
          <c:yVal>
            <c:numRef>
              <c:f>'4. DMA Social'!$H$7</c:f>
              <c:numCache/>
            </c:numRef>
          </c:yVal>
          <c:bubbleSize>
            <c:numRef>
              <c:f>'4. DMA Social'!$M$7</c:f>
            </c:numRef>
          </c:bubbleSize>
        </c:ser>
        <c:axId val="934555561"/>
        <c:axId val="26391226"/>
      </c:bubbleChart>
      <c:valAx>
        <c:axId val="934555561"/>
        <c:scaling>
          <c:orientation val="minMax"/>
          <c:max val="4.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Scale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6391226"/>
        <c:majorUnit val="0.5"/>
      </c:valAx>
      <c:valAx>
        <c:axId val="26391226"/>
        <c:scaling>
          <c:orientation val="minMax"/>
          <c:max val="4.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Scope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34555561"/>
        <c:majorUnit val="0.5"/>
      </c:valAx>
      <c:spPr>
        <a:solidFill>
          <a:schemeClr val="accent6"/>
        </a:solidFill>
      </c:spPr>
    </c:plotArea>
    <c:plotVisOnly val="0"/>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Financial Materiality</a:t>
            </a:r>
          </a:p>
        </c:rich>
      </c:tx>
      <c:overlay val="0"/>
    </c:title>
    <c:plotArea>
      <c:layout/>
      <c:bubbleChart>
        <c:ser>
          <c:idx val="0"/>
          <c:order val="0"/>
          <c:tx>
            <c:strRef>
              <c:f>'4. DMA Social'!$A$28</c:f>
            </c:strRef>
          </c:tx>
          <c:dLbls>
            <c:dLblPos val="ctr"/>
            <c:showLegendKey val="0"/>
            <c:showVal val="0"/>
            <c:showCatName val="0"/>
            <c:showSerName val="1"/>
            <c:showPercent val="0"/>
            <c:showBubbleSize val="0"/>
          </c:dLbls>
          <c:xVal>
            <c:strRef>
              <c:f>'4. DMA Social'!$D$28</c:f>
            </c:strRef>
          </c:xVal>
          <c:yVal>
            <c:numRef>
              <c:f>'4. DMA Social'!$G$28</c:f>
              <c:numCache/>
            </c:numRef>
          </c:yVal>
          <c:bubbleSize>
            <c:numRef>
              <c:f>'4. DMA Social'!$M$28</c:f>
            </c:numRef>
          </c:bubbleSize>
        </c:ser>
        <c:ser>
          <c:idx val="1"/>
          <c:order val="1"/>
          <c:tx>
            <c:strRef>
              <c:f>'4. DMA Social'!$A$29</c:f>
            </c:strRef>
          </c:tx>
          <c:dLbls>
            <c:dLblPos val="ctr"/>
            <c:showLegendKey val="0"/>
            <c:showVal val="0"/>
            <c:showCatName val="0"/>
            <c:showSerName val="1"/>
            <c:showPercent val="0"/>
            <c:showBubbleSize val="0"/>
          </c:dLbls>
          <c:xVal>
            <c:strRef>
              <c:f>'4. DMA Social'!$D$29</c:f>
            </c:strRef>
          </c:xVal>
          <c:yVal>
            <c:numRef>
              <c:f>'4. DMA Social'!$G$29</c:f>
              <c:numCache/>
            </c:numRef>
          </c:yVal>
          <c:bubbleSize>
            <c:numRef>
              <c:f>'4. DMA Social'!$M$29</c:f>
            </c:numRef>
          </c:bubbleSize>
        </c:ser>
        <c:axId val="1028773438"/>
        <c:axId val="1021825185"/>
      </c:bubbleChart>
      <c:valAx>
        <c:axId val="1028773438"/>
        <c:scaling>
          <c:orientation val="minMax"/>
          <c:max val="8.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Likelihood of Occurence</a:t>
                </a:r>
              </a:p>
            </c:rich>
          </c:tx>
          <c:overlay val="0"/>
        </c:title>
        <c:numFmt formatCode="#.##0;\-#.##0" sourceLinked="0"/>
        <c:majorTickMark val="none"/>
        <c:minorTickMark val="none"/>
        <c:tickLblPos val="nextTo"/>
        <c:spPr>
          <a:ln/>
        </c:spPr>
        <c:txPr>
          <a:bodyPr/>
          <a:lstStyle/>
          <a:p>
            <a:pPr lvl="0">
              <a:defRPr b="0" i="0" sz="900">
                <a:solidFill>
                  <a:srgbClr val="000000"/>
                </a:solidFill>
                <a:latin typeface="+mn-lt"/>
              </a:defRPr>
            </a:pPr>
          </a:p>
        </c:txPr>
        <c:crossAx val="1021825185"/>
        <c:majorUnit val="1.0"/>
      </c:valAx>
      <c:valAx>
        <c:axId val="1021825185"/>
        <c:scaling>
          <c:orientation val="minMax"/>
          <c:max val="8.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Potential Magnitude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028773438"/>
        <c:majorUnit val="1.0"/>
      </c:valAx>
      <c:spPr>
        <a:solidFill>
          <a:schemeClr val="accent6"/>
        </a:solidFill>
      </c:spPr>
    </c:plotArea>
    <c:plotVisOnly val="0"/>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Impact Materiality</a:t>
            </a:r>
          </a:p>
        </c:rich>
      </c:tx>
      <c:overlay val="0"/>
    </c:title>
    <c:plotArea>
      <c:layout/>
      <c:bubbleChart>
        <c:ser>
          <c:idx val="0"/>
          <c:order val="0"/>
          <c:tx>
            <c:strRef>
              <c:f>'3. DMA Environmental'!$A$5</c:f>
            </c:strRef>
          </c:tx>
          <c:dLbls>
            <c:dLblPos val="ctr"/>
            <c:showLegendKey val="0"/>
            <c:showVal val="0"/>
            <c:showCatName val="0"/>
            <c:showSerName val="1"/>
            <c:showPercent val="0"/>
            <c:showBubbleSize val="0"/>
          </c:dLbls>
          <c:xVal>
            <c:strRef>
              <c:f>'3. DMA Environmental'!$F$5</c:f>
            </c:strRef>
          </c:xVal>
          <c:yVal>
            <c:numRef>
              <c:f>'3. DMA Environmental'!$I$5</c:f>
              <c:numCache/>
            </c:numRef>
          </c:yVal>
          <c:bubbleSize>
            <c:numRef>
              <c:f>'3. DMA Environmental'!$N$5</c:f>
            </c:numRef>
          </c:bubbleSize>
        </c:ser>
        <c:ser>
          <c:idx val="1"/>
          <c:order val="1"/>
          <c:tx>
            <c:strRef>
              <c:f>'3. DMA Environmental'!$A$6</c:f>
            </c:strRef>
          </c:tx>
          <c:dLbls>
            <c:dLblPos val="ctr"/>
            <c:showLegendKey val="0"/>
            <c:showVal val="0"/>
            <c:showCatName val="0"/>
            <c:showSerName val="1"/>
            <c:showPercent val="0"/>
            <c:showBubbleSize val="0"/>
          </c:dLbls>
          <c:xVal>
            <c:strRef>
              <c:f>'3. DMA Environmental'!$F$6</c:f>
            </c:strRef>
          </c:xVal>
          <c:yVal>
            <c:numRef>
              <c:f>'3. DMA Environmental'!$I$6</c:f>
              <c:numCache/>
            </c:numRef>
          </c:yVal>
          <c:bubbleSize>
            <c:numRef>
              <c:f>'3. DMA Environmental'!$N$6</c:f>
            </c:numRef>
          </c:bubbleSize>
        </c:ser>
        <c:ser>
          <c:idx val="2"/>
          <c:order val="2"/>
          <c:tx>
            <c:strRef>
              <c:f>'3. DMA Environmental'!$A$7</c:f>
            </c:strRef>
          </c:tx>
          <c:dLbls>
            <c:dLblPos val="ctr"/>
            <c:showLegendKey val="0"/>
            <c:showVal val="0"/>
            <c:showCatName val="0"/>
            <c:showSerName val="1"/>
            <c:showPercent val="0"/>
            <c:showBubbleSize val="0"/>
          </c:dLbls>
          <c:xVal>
            <c:strRef>
              <c:f>'3. DMA Environmental'!$F$7</c:f>
            </c:strRef>
          </c:xVal>
          <c:yVal>
            <c:numRef>
              <c:f>'3. DMA Environmental'!$I$7</c:f>
              <c:numCache/>
            </c:numRef>
          </c:yVal>
          <c:bubbleSize>
            <c:numRef>
              <c:f>'3. DMA Environmental'!$N$7</c:f>
            </c:numRef>
          </c:bubbleSize>
        </c:ser>
        <c:axId val="1648393428"/>
        <c:axId val="114909047"/>
      </c:bubbleChart>
      <c:valAx>
        <c:axId val="1648393428"/>
        <c:scaling>
          <c:orientation val="minMax"/>
          <c:max val="4.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Scale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4909047"/>
        <c:majorUnit val="0.5"/>
      </c:valAx>
      <c:valAx>
        <c:axId val="114909047"/>
        <c:scaling>
          <c:orientation val="minMax"/>
          <c:max val="4.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Scope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48393428"/>
      </c:valAx>
      <c:spPr>
        <a:solidFill>
          <a:schemeClr val="accent6"/>
        </a:solidFill>
      </c:spPr>
    </c:plotArea>
    <c:plotVisOnly val="0"/>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Financial Materiality</a:t>
            </a:r>
          </a:p>
        </c:rich>
      </c:tx>
      <c:overlay val="0"/>
    </c:title>
    <c:plotArea>
      <c:layout/>
      <c:bubbleChart>
        <c:ser>
          <c:idx val="0"/>
          <c:order val="0"/>
          <c:tx>
            <c:strRef>
              <c:f>'3. DMA Environmental'!$A$31</c:f>
            </c:strRef>
          </c:tx>
          <c:dLbls>
            <c:dLblPos val="ctr"/>
            <c:showLegendKey val="0"/>
            <c:showVal val="0"/>
            <c:showCatName val="0"/>
            <c:showSerName val="1"/>
            <c:showPercent val="0"/>
            <c:showBubbleSize val="0"/>
          </c:dLbls>
          <c:xVal>
            <c:strRef>
              <c:f>'3. DMA Environmental'!$E$31</c:f>
            </c:strRef>
          </c:xVal>
          <c:yVal>
            <c:numRef>
              <c:f>'3. DMA Environmental'!$H$31</c:f>
              <c:numCache/>
            </c:numRef>
          </c:yVal>
          <c:bubbleSize>
            <c:numRef>
              <c:f>'3. DMA Environmental'!$N$31</c:f>
            </c:numRef>
          </c:bubbleSize>
        </c:ser>
        <c:ser>
          <c:idx val="1"/>
          <c:order val="1"/>
          <c:tx>
            <c:strRef>
              <c:f>'3. DMA Environmental'!$A$32</c:f>
            </c:strRef>
          </c:tx>
          <c:dLbls>
            <c:dLblPos val="ctr"/>
            <c:showLegendKey val="0"/>
            <c:showVal val="0"/>
            <c:showCatName val="0"/>
            <c:showSerName val="1"/>
            <c:showPercent val="0"/>
            <c:showBubbleSize val="0"/>
          </c:dLbls>
          <c:xVal>
            <c:strRef>
              <c:f>'3. DMA Environmental'!$E$32</c:f>
            </c:strRef>
          </c:xVal>
          <c:yVal>
            <c:numRef>
              <c:f>'3. DMA Environmental'!$H$32</c:f>
              <c:numCache/>
            </c:numRef>
          </c:yVal>
          <c:bubbleSize>
            <c:numRef>
              <c:f>'3. DMA Environmental'!$N$32</c:f>
            </c:numRef>
          </c:bubbleSize>
        </c:ser>
        <c:axId val="995936116"/>
        <c:axId val="1873207502"/>
      </c:bubbleChart>
      <c:valAx>
        <c:axId val="995936116"/>
        <c:scaling>
          <c:orientation val="minMax"/>
          <c:max val="8.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Likelihood of Occurence</a:t>
                </a:r>
              </a:p>
            </c:rich>
          </c:tx>
          <c:overlay val="0"/>
        </c:title>
        <c:numFmt formatCode="#.##0;\-#.##0" sourceLinked="0"/>
        <c:majorTickMark val="none"/>
        <c:minorTickMark val="none"/>
        <c:tickLblPos val="nextTo"/>
        <c:spPr>
          <a:ln/>
        </c:spPr>
        <c:txPr>
          <a:bodyPr/>
          <a:lstStyle/>
          <a:p>
            <a:pPr lvl="0">
              <a:defRPr b="0" i="0" sz="900">
                <a:solidFill>
                  <a:srgbClr val="000000"/>
                </a:solidFill>
                <a:latin typeface="+mn-lt"/>
              </a:defRPr>
            </a:pPr>
          </a:p>
        </c:txPr>
        <c:crossAx val="1873207502"/>
        <c:majorUnit val="1.0"/>
      </c:valAx>
      <c:valAx>
        <c:axId val="1873207502"/>
        <c:scaling>
          <c:orientation val="minMax"/>
          <c:max val="8.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Potential Magnitude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95936116"/>
        <c:majorUnit val="1.0"/>
      </c:valAx>
      <c:spPr>
        <a:solidFill>
          <a:schemeClr val="accent6"/>
        </a:solidFill>
      </c:spPr>
    </c:plotArea>
    <c:plotVisOnly val="0"/>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Impact Materiality</a:t>
            </a:r>
          </a:p>
        </c:rich>
      </c:tx>
      <c:overlay val="0"/>
    </c:title>
    <c:plotArea>
      <c:layout/>
      <c:bubbleChart>
        <c:ser>
          <c:idx val="0"/>
          <c:order val="0"/>
          <c:tx>
            <c:strRef>
              <c:f>'4. DMA Social'!$A$5</c:f>
            </c:strRef>
          </c:tx>
          <c:dLbls>
            <c:dLblPos val="ctr"/>
            <c:showLegendKey val="0"/>
            <c:showVal val="0"/>
            <c:showCatName val="0"/>
            <c:showSerName val="1"/>
            <c:showPercent val="0"/>
            <c:showBubbleSize val="0"/>
          </c:dLbls>
          <c:xVal>
            <c:strRef>
              <c:f>'4. DMA Social'!$E$5</c:f>
            </c:strRef>
          </c:xVal>
          <c:yVal>
            <c:numRef>
              <c:f>'4. DMA Social'!$H$5</c:f>
              <c:numCache/>
            </c:numRef>
          </c:yVal>
          <c:bubbleSize>
            <c:numRef>
              <c:f>'4. DMA Social'!$M$5</c:f>
            </c:numRef>
          </c:bubbleSize>
        </c:ser>
        <c:ser>
          <c:idx val="1"/>
          <c:order val="1"/>
          <c:tx>
            <c:strRef>
              <c:f>'4. DMA Social'!$A$6</c:f>
            </c:strRef>
          </c:tx>
          <c:dLbls>
            <c:dLblPos val="ctr"/>
            <c:showLegendKey val="0"/>
            <c:showVal val="0"/>
            <c:showCatName val="0"/>
            <c:showSerName val="1"/>
            <c:showPercent val="0"/>
            <c:showBubbleSize val="0"/>
          </c:dLbls>
          <c:xVal>
            <c:strRef>
              <c:f>'4. DMA Social'!$E$6</c:f>
            </c:strRef>
          </c:xVal>
          <c:yVal>
            <c:numRef>
              <c:f>'4. DMA Social'!$H$6</c:f>
              <c:numCache/>
            </c:numRef>
          </c:yVal>
          <c:bubbleSize>
            <c:numRef>
              <c:f>'4. DMA Social'!$M$6</c:f>
            </c:numRef>
          </c:bubbleSize>
        </c:ser>
        <c:ser>
          <c:idx val="2"/>
          <c:order val="2"/>
          <c:tx>
            <c:strRef>
              <c:f>'4. DMA Social'!$A$7</c:f>
            </c:strRef>
          </c:tx>
          <c:dLbls>
            <c:dLblPos val="ctr"/>
            <c:showLegendKey val="0"/>
            <c:showVal val="0"/>
            <c:showCatName val="0"/>
            <c:showSerName val="1"/>
            <c:showPercent val="0"/>
            <c:showBubbleSize val="0"/>
          </c:dLbls>
          <c:xVal>
            <c:strRef>
              <c:f>'4. DMA Social'!$E$7</c:f>
            </c:strRef>
          </c:xVal>
          <c:yVal>
            <c:numRef>
              <c:f>'4. DMA Social'!$H$7</c:f>
              <c:numCache/>
            </c:numRef>
          </c:yVal>
          <c:bubbleSize>
            <c:numRef>
              <c:f>'4. DMA Social'!$M$7</c:f>
            </c:numRef>
          </c:bubbleSize>
        </c:ser>
        <c:axId val="511096004"/>
        <c:axId val="67593155"/>
      </c:bubbleChart>
      <c:valAx>
        <c:axId val="511096004"/>
        <c:scaling>
          <c:orientation val="minMax"/>
          <c:max val="4.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Scale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67593155"/>
        <c:majorUnit val="0.5"/>
      </c:valAx>
      <c:valAx>
        <c:axId val="67593155"/>
        <c:scaling>
          <c:orientation val="minMax"/>
          <c:max val="4.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Scope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11096004"/>
        <c:majorUnit val="0.5"/>
      </c:valAx>
      <c:spPr>
        <a:solidFill>
          <a:schemeClr val="accent6"/>
        </a:solidFill>
      </c:spPr>
    </c:plotArea>
    <c:plotVisOnly val="0"/>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Financial Materiality</a:t>
            </a:r>
          </a:p>
        </c:rich>
      </c:tx>
      <c:overlay val="0"/>
    </c:title>
    <c:plotArea>
      <c:layout/>
      <c:bubbleChart>
        <c:ser>
          <c:idx val="0"/>
          <c:order val="0"/>
          <c:tx>
            <c:strRef>
              <c:f>'4. DMA Social'!$A$28</c:f>
            </c:strRef>
          </c:tx>
          <c:dLbls>
            <c:dLblPos val="ctr"/>
            <c:showLegendKey val="0"/>
            <c:showVal val="0"/>
            <c:showCatName val="0"/>
            <c:showSerName val="1"/>
            <c:showPercent val="0"/>
            <c:showBubbleSize val="0"/>
          </c:dLbls>
          <c:xVal>
            <c:strRef>
              <c:f>'4. DMA Social'!$D$28</c:f>
            </c:strRef>
          </c:xVal>
          <c:yVal>
            <c:numRef>
              <c:f>'4. DMA Social'!$G$28</c:f>
              <c:numCache/>
            </c:numRef>
          </c:yVal>
          <c:bubbleSize>
            <c:numRef>
              <c:f>'4. DMA Social'!$M$28</c:f>
            </c:numRef>
          </c:bubbleSize>
        </c:ser>
        <c:ser>
          <c:idx val="1"/>
          <c:order val="1"/>
          <c:tx>
            <c:strRef>
              <c:f>'4. DMA Social'!$A$29</c:f>
            </c:strRef>
          </c:tx>
          <c:dLbls>
            <c:dLblPos val="ctr"/>
            <c:showLegendKey val="0"/>
            <c:showVal val="0"/>
            <c:showCatName val="0"/>
            <c:showSerName val="1"/>
            <c:showPercent val="0"/>
            <c:showBubbleSize val="0"/>
          </c:dLbls>
          <c:xVal>
            <c:strRef>
              <c:f>'4. DMA Social'!$D$29</c:f>
            </c:strRef>
          </c:xVal>
          <c:yVal>
            <c:numRef>
              <c:f>'4. DMA Social'!$G$29</c:f>
              <c:numCache/>
            </c:numRef>
          </c:yVal>
          <c:bubbleSize>
            <c:numRef>
              <c:f>'4. DMA Social'!$M$29</c:f>
            </c:numRef>
          </c:bubbleSize>
        </c:ser>
        <c:axId val="1546658303"/>
        <c:axId val="1413274205"/>
      </c:bubbleChart>
      <c:valAx>
        <c:axId val="1546658303"/>
        <c:scaling>
          <c:orientation val="minMax"/>
          <c:max val="8.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Likelihood of Occurence</a:t>
                </a:r>
              </a:p>
            </c:rich>
          </c:tx>
          <c:overlay val="0"/>
        </c:title>
        <c:numFmt formatCode="#.##0;\-#.##0" sourceLinked="0"/>
        <c:majorTickMark val="none"/>
        <c:minorTickMark val="none"/>
        <c:tickLblPos val="nextTo"/>
        <c:spPr>
          <a:ln/>
        </c:spPr>
        <c:txPr>
          <a:bodyPr/>
          <a:lstStyle/>
          <a:p>
            <a:pPr lvl="0">
              <a:defRPr b="0" i="0" sz="900">
                <a:solidFill>
                  <a:srgbClr val="000000"/>
                </a:solidFill>
                <a:latin typeface="+mn-lt"/>
              </a:defRPr>
            </a:pPr>
          </a:p>
        </c:txPr>
        <c:crossAx val="1413274205"/>
        <c:majorUnit val="1.0"/>
      </c:valAx>
      <c:valAx>
        <c:axId val="1413274205"/>
        <c:scaling>
          <c:orientation val="minMax"/>
          <c:max val="8.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Potential Magnitude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546658303"/>
        <c:majorUnit val="1.0"/>
      </c:valAx>
      <c:spPr>
        <a:solidFill>
          <a:schemeClr val="accent6"/>
        </a:solidFill>
      </c:spPr>
    </c:plotArea>
    <c:plotVisOnly val="0"/>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Impact Materiality</a:t>
            </a:r>
          </a:p>
        </c:rich>
      </c:tx>
      <c:overlay val="0"/>
    </c:title>
    <c:plotArea>
      <c:layout/>
      <c:bubbleChart>
        <c:ser>
          <c:idx val="0"/>
          <c:order val="0"/>
          <c:tx>
            <c:strRef>
              <c:f>'5. DMA Governance'!$A$5</c:f>
            </c:strRef>
          </c:tx>
          <c:dLbls>
            <c:dLblPos val="ctr"/>
            <c:showLegendKey val="0"/>
            <c:showVal val="0"/>
            <c:showCatName val="0"/>
            <c:showSerName val="1"/>
            <c:showPercent val="0"/>
            <c:showBubbleSize val="0"/>
          </c:dLbls>
          <c:xVal>
            <c:strRef>
              <c:f>'5. DMA Governance'!$E$5</c:f>
            </c:strRef>
          </c:xVal>
          <c:yVal>
            <c:numRef>
              <c:f>'5. DMA Governance'!$H$5</c:f>
              <c:numCache/>
            </c:numRef>
          </c:yVal>
          <c:bubbleSize>
            <c:numRef>
              <c:f>'5. DMA Governance'!$M$5</c:f>
            </c:numRef>
          </c:bubbleSize>
        </c:ser>
        <c:ser>
          <c:idx val="1"/>
          <c:order val="1"/>
          <c:tx>
            <c:strRef>
              <c:f>'5. DMA Governance'!$A$6</c:f>
            </c:strRef>
          </c:tx>
          <c:dLbls>
            <c:dLblPos val="ctr"/>
            <c:showLegendKey val="0"/>
            <c:showVal val="0"/>
            <c:showCatName val="0"/>
            <c:showSerName val="1"/>
            <c:showPercent val="0"/>
            <c:showBubbleSize val="0"/>
          </c:dLbls>
          <c:xVal>
            <c:strRef>
              <c:f>'5. DMA Governance'!$E$6</c:f>
            </c:strRef>
          </c:xVal>
          <c:yVal>
            <c:numRef>
              <c:f>'5. DMA Governance'!$H$6</c:f>
              <c:numCache/>
            </c:numRef>
          </c:yVal>
          <c:bubbleSize>
            <c:numRef>
              <c:f>'5. DMA Governance'!$M$6</c:f>
            </c:numRef>
          </c:bubbleSize>
        </c:ser>
        <c:ser>
          <c:idx val="2"/>
          <c:order val="2"/>
          <c:tx>
            <c:strRef>
              <c:f>'5. DMA Governance'!$A$7</c:f>
            </c:strRef>
          </c:tx>
          <c:dLbls>
            <c:dLblPos val="ctr"/>
            <c:showLegendKey val="0"/>
            <c:showVal val="0"/>
            <c:showCatName val="0"/>
            <c:showSerName val="1"/>
            <c:showPercent val="0"/>
            <c:showBubbleSize val="0"/>
          </c:dLbls>
          <c:xVal>
            <c:strRef>
              <c:f>'5. DMA Governance'!$E$7</c:f>
            </c:strRef>
          </c:xVal>
          <c:yVal>
            <c:numRef>
              <c:f>'5. DMA Governance'!$H$7</c:f>
              <c:numCache/>
            </c:numRef>
          </c:yVal>
          <c:bubbleSize>
            <c:numRef>
              <c:f>'5. DMA Governance'!$M$7</c:f>
            </c:numRef>
          </c:bubbleSize>
        </c:ser>
        <c:axId val="1786646427"/>
        <c:axId val="323942375"/>
      </c:bubbleChart>
      <c:valAx>
        <c:axId val="1786646427"/>
        <c:scaling>
          <c:orientation val="minMax"/>
          <c:max val="4.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Scale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323942375"/>
        <c:majorUnit val="0.5"/>
      </c:valAx>
      <c:valAx>
        <c:axId val="323942375"/>
        <c:scaling>
          <c:orientation val="minMax"/>
          <c:max val="4.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Scope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86646427"/>
        <c:majorUnit val="0.5"/>
      </c:valAx>
      <c:spPr>
        <a:solidFill>
          <a:schemeClr val="accent6"/>
        </a:solidFill>
      </c:spPr>
    </c:plotArea>
    <c:plotVisOnly val="0"/>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Financial Materiality</a:t>
            </a:r>
          </a:p>
        </c:rich>
      </c:tx>
      <c:overlay val="0"/>
    </c:title>
    <c:plotArea>
      <c:layout/>
      <c:bubbleChart>
        <c:ser>
          <c:idx val="0"/>
          <c:order val="0"/>
          <c:tx>
            <c:strRef>
              <c:f>'5. DMA Governance'!$A$12</c:f>
            </c:strRef>
          </c:tx>
          <c:dLbls>
            <c:dLblPos val="ctr"/>
            <c:showLegendKey val="0"/>
            <c:showVal val="0"/>
            <c:showCatName val="0"/>
            <c:showSerName val="1"/>
            <c:showPercent val="0"/>
            <c:showBubbleSize val="0"/>
          </c:dLbls>
          <c:xVal>
            <c:strRef>
              <c:f>'5. DMA Governance'!$D$12</c:f>
            </c:strRef>
          </c:xVal>
          <c:yVal>
            <c:numRef>
              <c:f>'5. DMA Governance'!$G$12</c:f>
              <c:numCache/>
            </c:numRef>
          </c:yVal>
          <c:bubbleSize>
            <c:numRef>
              <c:f>'5. DMA Governance'!$M$12</c:f>
            </c:numRef>
          </c:bubbleSize>
        </c:ser>
        <c:ser>
          <c:idx val="1"/>
          <c:order val="1"/>
          <c:tx>
            <c:strRef>
              <c:f>'5. DMA Governance'!$A$13</c:f>
            </c:strRef>
          </c:tx>
          <c:dLbls>
            <c:dLblPos val="ctr"/>
            <c:showLegendKey val="0"/>
            <c:showVal val="0"/>
            <c:showCatName val="0"/>
            <c:showSerName val="1"/>
            <c:showPercent val="0"/>
            <c:showBubbleSize val="0"/>
          </c:dLbls>
          <c:xVal>
            <c:strRef>
              <c:f>'5. DMA Governance'!$D$13</c:f>
            </c:strRef>
          </c:xVal>
          <c:yVal>
            <c:numRef>
              <c:f>'5. DMA Governance'!$G$13</c:f>
              <c:numCache/>
            </c:numRef>
          </c:yVal>
          <c:bubbleSize>
            <c:numRef>
              <c:f>'5. DMA Governance'!$M$13</c:f>
            </c:numRef>
          </c:bubbleSize>
        </c:ser>
        <c:axId val="987686131"/>
        <c:axId val="452308707"/>
      </c:bubbleChart>
      <c:valAx>
        <c:axId val="987686131"/>
        <c:scaling>
          <c:orientation val="minMax"/>
          <c:max val="8.0"/>
        </c:scaling>
        <c:delete val="0"/>
        <c:axPos val="b"/>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Likelihood of Occurence</a:t>
                </a:r>
              </a:p>
            </c:rich>
          </c:tx>
          <c:overlay val="0"/>
        </c:title>
        <c:numFmt formatCode="#.##0;\-#.##0" sourceLinked="0"/>
        <c:majorTickMark val="none"/>
        <c:minorTickMark val="none"/>
        <c:tickLblPos val="nextTo"/>
        <c:spPr>
          <a:ln/>
        </c:spPr>
        <c:txPr>
          <a:bodyPr/>
          <a:lstStyle/>
          <a:p>
            <a:pPr lvl="0">
              <a:defRPr b="0" i="0" sz="900">
                <a:solidFill>
                  <a:srgbClr val="000000"/>
                </a:solidFill>
                <a:latin typeface="+mn-lt"/>
              </a:defRPr>
            </a:pPr>
          </a:p>
        </c:txPr>
        <c:crossAx val="452308707"/>
        <c:majorUnit val="1.0"/>
      </c:valAx>
      <c:valAx>
        <c:axId val="452308707"/>
        <c:scaling>
          <c:orientation val="minMax"/>
          <c:max val="8.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Potential Magnitude</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987686131"/>
        <c:majorUnit val="1.0"/>
      </c:valAx>
      <c:spPr>
        <a:solidFill>
          <a:schemeClr val="accent6"/>
        </a:solidFill>
      </c:spPr>
    </c:plotArea>
    <c:plotVisOnly val="0"/>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 Id="rId4" Type="http://schemas.openxmlformats.org/officeDocument/2006/relationships/chart" Target="../charts/chart10.xml"/><Relationship Id="rId5" Type="http://schemas.openxmlformats.org/officeDocument/2006/relationships/chart" Target="../charts/chart11.xml"/><Relationship Id="rId6"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876300</xdr:colOff>
      <xdr:row>2</xdr:row>
      <xdr:rowOff>19050</xdr:rowOff>
    </xdr:from>
    <xdr:ext cx="866775" cy="8667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876300</xdr:colOff>
      <xdr:row>3</xdr:row>
      <xdr:rowOff>76200</xdr:rowOff>
    </xdr:from>
    <xdr:ext cx="2924175" cy="37147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95250</xdr:colOff>
      <xdr:row>2</xdr:row>
      <xdr:rowOff>0</xdr:rowOff>
    </xdr:from>
    <xdr:ext cx="6972300" cy="34766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15</xdr:col>
      <xdr:colOff>95250</xdr:colOff>
      <xdr:row>27</xdr:row>
      <xdr:rowOff>180975</xdr:rowOff>
    </xdr:from>
    <xdr:ext cx="7000875" cy="34766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123825</xdr:colOff>
      <xdr:row>0</xdr:row>
      <xdr:rowOff>0</xdr:rowOff>
    </xdr:from>
    <xdr:ext cx="6981825" cy="347662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180975</xdr:colOff>
      <xdr:row>17</xdr:row>
      <xdr:rowOff>19050</xdr:rowOff>
    </xdr:from>
    <xdr:ext cx="7000875" cy="3467100"/>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57150</xdr:colOff>
      <xdr:row>2</xdr:row>
      <xdr:rowOff>0</xdr:rowOff>
    </xdr:from>
    <xdr:ext cx="6991350" cy="3476625"/>
    <xdr:graphicFrame>
      <xdr:nvGraphicFramePr>
        <xdr:cNvPr id="5" name="Chart 5"/>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57150</xdr:colOff>
      <xdr:row>25</xdr:row>
      <xdr:rowOff>0</xdr:rowOff>
    </xdr:from>
    <xdr:ext cx="6991350" cy="3486150"/>
    <xdr:graphicFrame>
      <xdr:nvGraphicFramePr>
        <xdr:cNvPr id="6" name="Chart 6"/>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266700</xdr:colOff>
      <xdr:row>2</xdr:row>
      <xdr:rowOff>9525</xdr:rowOff>
    </xdr:from>
    <xdr:ext cx="5248275" cy="3571875"/>
    <xdr:graphicFrame>
      <xdr:nvGraphicFramePr>
        <xdr:cNvPr id="7" name="Chart 7"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361950</xdr:colOff>
      <xdr:row>2</xdr:row>
      <xdr:rowOff>9525</xdr:rowOff>
    </xdr:from>
    <xdr:ext cx="5257800" cy="3600450"/>
    <xdr:graphicFrame>
      <xdr:nvGraphicFramePr>
        <xdr:cNvPr id="8" name="Chart 8"/>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266700</xdr:colOff>
      <xdr:row>22</xdr:row>
      <xdr:rowOff>95250</xdr:rowOff>
    </xdr:from>
    <xdr:ext cx="5257800" cy="3543300"/>
    <xdr:graphicFrame>
      <xdr:nvGraphicFramePr>
        <xdr:cNvPr id="9" name="Chart 9"/>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14</xdr:col>
      <xdr:colOff>323850</xdr:colOff>
      <xdr:row>22</xdr:row>
      <xdr:rowOff>114300</xdr:rowOff>
    </xdr:from>
    <xdr:ext cx="5248275" cy="3543300"/>
    <xdr:graphicFrame>
      <xdr:nvGraphicFramePr>
        <xdr:cNvPr id="10" name="Chart 10"/>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7</xdr:col>
      <xdr:colOff>295275</xdr:colOff>
      <xdr:row>42</xdr:row>
      <xdr:rowOff>133350</xdr:rowOff>
    </xdr:from>
    <xdr:ext cx="5248275" cy="3609975"/>
    <xdr:graphicFrame>
      <xdr:nvGraphicFramePr>
        <xdr:cNvPr id="11" name="Chart 11" title="Chart"/>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14</xdr:col>
      <xdr:colOff>314325</xdr:colOff>
      <xdr:row>42</xdr:row>
      <xdr:rowOff>133350</xdr:rowOff>
    </xdr:from>
    <xdr:ext cx="5257800" cy="3619500"/>
    <xdr:graphicFrame>
      <xdr:nvGraphicFramePr>
        <xdr:cNvPr id="12" name="Chart 12"/>
        <xdr:cNvGraphicFramePr/>
      </xdr:nvGraphicFramePr>
      <xdr:xfrm>
        <a:off x="0" y="0"/>
        <a:ext cx="0" cy="0"/>
      </xdr:xfrm>
      <a:graphic>
        <a:graphicData uri="http://schemas.openxmlformats.org/drawingml/2006/chart">
          <c:chart r:id="rId6"/>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0" max="10" width="13.29"/>
    <col customWidth="1" min="14" max="14" width="58.86"/>
  </cols>
  <sheetData>
    <row r="1">
      <c r="A1" s="1"/>
      <c r="B1" s="1"/>
      <c r="C1" s="1"/>
      <c r="D1" s="1"/>
      <c r="E1" s="1"/>
      <c r="F1" s="1"/>
      <c r="G1" s="1"/>
      <c r="H1" s="1"/>
      <c r="I1" s="1"/>
      <c r="J1" s="2"/>
      <c r="K1" s="3"/>
      <c r="L1" s="3"/>
      <c r="M1" s="3"/>
      <c r="N1" s="3"/>
      <c r="O1" s="4"/>
      <c r="P1" s="5"/>
      <c r="Q1" s="5"/>
      <c r="R1" s="5"/>
      <c r="S1" s="5"/>
      <c r="T1" s="5"/>
      <c r="U1" s="5"/>
      <c r="V1" s="5"/>
      <c r="W1" s="5"/>
      <c r="X1" s="5"/>
      <c r="Y1" s="5"/>
      <c r="Z1" s="5"/>
    </row>
    <row r="2">
      <c r="A2" s="1"/>
      <c r="B2" s="1"/>
      <c r="C2" s="1"/>
      <c r="D2" s="1"/>
      <c r="E2" s="1"/>
      <c r="F2" s="1"/>
      <c r="G2" s="1"/>
      <c r="H2" s="1"/>
      <c r="I2" s="1"/>
      <c r="J2" s="2"/>
      <c r="K2" s="3"/>
      <c r="L2" s="3"/>
      <c r="M2" s="3"/>
      <c r="N2" s="3"/>
      <c r="O2" s="4"/>
      <c r="P2" s="5"/>
      <c r="Q2" s="5"/>
      <c r="R2" s="5"/>
      <c r="S2" s="5"/>
      <c r="T2" s="5"/>
      <c r="U2" s="5"/>
      <c r="V2" s="5"/>
      <c r="W2" s="5"/>
      <c r="X2" s="5"/>
      <c r="Y2" s="5"/>
      <c r="Z2" s="5"/>
    </row>
    <row r="3">
      <c r="A3" s="1"/>
      <c r="B3" s="1"/>
      <c r="C3" s="1"/>
      <c r="D3" s="1"/>
      <c r="E3" s="1"/>
      <c r="F3" s="1"/>
      <c r="G3" s="1"/>
      <c r="H3" s="1"/>
      <c r="I3" s="1"/>
      <c r="J3" s="6"/>
      <c r="K3" s="7"/>
      <c r="L3" s="7"/>
      <c r="M3" s="7"/>
      <c r="N3" s="7"/>
      <c r="O3" s="8"/>
      <c r="P3" s="5"/>
      <c r="Q3" s="5"/>
      <c r="R3" s="5"/>
      <c r="S3" s="5"/>
      <c r="T3" s="5"/>
      <c r="U3" s="5"/>
      <c r="V3" s="5"/>
      <c r="W3" s="5"/>
      <c r="X3" s="5"/>
      <c r="Y3" s="5"/>
      <c r="Z3" s="5"/>
    </row>
    <row r="4">
      <c r="A4" s="1"/>
      <c r="B4" s="1"/>
      <c r="C4" s="1"/>
      <c r="D4" s="1"/>
      <c r="E4" s="1"/>
      <c r="F4" s="1"/>
      <c r="G4" s="1"/>
      <c r="H4" s="1"/>
      <c r="I4" s="1"/>
      <c r="J4" s="2"/>
      <c r="K4" s="3"/>
      <c r="L4" s="3"/>
      <c r="M4" s="3"/>
      <c r="N4" s="3"/>
      <c r="O4" s="4"/>
      <c r="P4" s="5"/>
      <c r="Q4" s="5"/>
      <c r="R4" s="5"/>
      <c r="S4" s="5"/>
      <c r="T4" s="5"/>
      <c r="U4" s="5"/>
      <c r="V4" s="5"/>
      <c r="W4" s="5"/>
      <c r="X4" s="5"/>
      <c r="Y4" s="5"/>
      <c r="Z4" s="5"/>
    </row>
    <row r="5">
      <c r="A5" s="1"/>
      <c r="B5" s="1"/>
      <c r="C5" s="1"/>
      <c r="D5" s="1"/>
      <c r="E5" s="1"/>
      <c r="F5" s="1"/>
      <c r="G5" s="1"/>
      <c r="H5" s="1"/>
      <c r="I5" s="1"/>
      <c r="J5" s="2"/>
      <c r="K5" s="3"/>
      <c r="L5" s="3"/>
      <c r="M5" s="3"/>
      <c r="N5" s="3"/>
      <c r="O5" s="4"/>
      <c r="P5" s="5"/>
      <c r="Q5" s="5"/>
      <c r="R5" s="5"/>
      <c r="S5" s="5"/>
      <c r="T5" s="5"/>
      <c r="U5" s="5"/>
      <c r="V5" s="5"/>
      <c r="W5" s="5"/>
      <c r="X5" s="5"/>
      <c r="Y5" s="5"/>
      <c r="Z5" s="5"/>
    </row>
    <row r="6">
      <c r="A6" s="9"/>
      <c r="B6" s="9"/>
      <c r="C6" s="9"/>
      <c r="D6" s="9"/>
      <c r="E6" s="9"/>
      <c r="F6" s="9"/>
      <c r="G6" s="9"/>
      <c r="H6" s="9"/>
      <c r="I6" s="9"/>
      <c r="J6" s="2"/>
      <c r="K6" s="3"/>
      <c r="L6" s="3"/>
      <c r="M6" s="3"/>
      <c r="N6" s="3"/>
      <c r="O6" s="4"/>
      <c r="P6" s="5"/>
      <c r="Q6" s="5"/>
      <c r="R6" s="5"/>
      <c r="S6" s="5"/>
      <c r="T6" s="5"/>
      <c r="U6" s="5"/>
      <c r="V6" s="5"/>
      <c r="W6" s="5"/>
      <c r="X6" s="5"/>
      <c r="Y6" s="5"/>
      <c r="Z6" s="5"/>
    </row>
    <row r="7">
      <c r="A7" s="9"/>
      <c r="B7" s="9"/>
      <c r="C7" s="9"/>
      <c r="D7" s="9"/>
      <c r="E7" s="9"/>
      <c r="F7" s="9"/>
      <c r="G7" s="9"/>
      <c r="H7" s="9"/>
      <c r="I7" s="9"/>
      <c r="J7" s="2"/>
      <c r="K7" s="3"/>
      <c r="L7" s="3"/>
      <c r="M7" s="3"/>
      <c r="N7" s="3"/>
      <c r="O7" s="4"/>
      <c r="P7" s="5"/>
      <c r="Q7" s="5"/>
      <c r="R7" s="5"/>
      <c r="S7" s="5"/>
      <c r="T7" s="10"/>
      <c r="U7" s="11"/>
      <c r="V7" s="11"/>
      <c r="W7" s="11"/>
      <c r="X7" s="11"/>
      <c r="Y7" s="11"/>
      <c r="Z7" s="12"/>
    </row>
    <row r="8">
      <c r="A8" s="9"/>
      <c r="B8" s="13" t="s">
        <v>0</v>
      </c>
      <c r="C8" s="14"/>
      <c r="D8" s="14"/>
      <c r="E8" s="14"/>
      <c r="F8" s="14"/>
      <c r="G8" s="14"/>
      <c r="H8" s="15"/>
      <c r="I8" s="9"/>
      <c r="J8" s="2"/>
      <c r="K8" s="16" t="s">
        <v>1</v>
      </c>
      <c r="L8" s="17"/>
      <c r="M8" s="17"/>
      <c r="N8" s="18"/>
      <c r="O8" s="4"/>
      <c r="P8" s="5"/>
      <c r="Q8" s="5"/>
      <c r="R8" s="5"/>
      <c r="S8" s="5"/>
      <c r="T8" s="19"/>
      <c r="Z8" s="20"/>
    </row>
    <row r="9">
      <c r="A9" s="9"/>
      <c r="B9" s="21"/>
      <c r="H9" s="22"/>
      <c r="I9" s="9"/>
      <c r="J9" s="2"/>
      <c r="K9" s="23"/>
      <c r="N9" s="24"/>
      <c r="O9" s="4"/>
      <c r="P9" s="5"/>
      <c r="Q9" s="5"/>
      <c r="R9" s="5"/>
      <c r="S9" s="5"/>
      <c r="T9" s="19"/>
      <c r="Z9" s="20"/>
    </row>
    <row r="10">
      <c r="A10" s="9"/>
      <c r="B10" s="21"/>
      <c r="H10" s="22"/>
      <c r="I10" s="9"/>
      <c r="J10" s="2"/>
      <c r="K10" s="23"/>
      <c r="N10" s="24"/>
      <c r="O10" s="4"/>
      <c r="P10" s="5"/>
      <c r="Q10" s="5"/>
      <c r="R10" s="5"/>
      <c r="S10" s="5"/>
      <c r="T10" s="19"/>
      <c r="Z10" s="20"/>
    </row>
    <row r="11">
      <c r="A11" s="9"/>
      <c r="B11" s="25"/>
      <c r="C11" s="26"/>
      <c r="D11" s="26"/>
      <c r="E11" s="26"/>
      <c r="F11" s="26"/>
      <c r="G11" s="26"/>
      <c r="H11" s="27"/>
      <c r="I11" s="9"/>
      <c r="J11" s="2"/>
      <c r="K11" s="28"/>
      <c r="L11" s="29"/>
      <c r="M11" s="29"/>
      <c r="N11" s="30"/>
      <c r="O11" s="4"/>
      <c r="P11" s="5"/>
      <c r="Q11" s="5"/>
      <c r="R11" s="5"/>
      <c r="S11" s="5"/>
      <c r="T11" s="19"/>
      <c r="Z11" s="20"/>
    </row>
    <row r="12">
      <c r="A12" s="31"/>
      <c r="B12" s="32"/>
      <c r="C12" s="33"/>
      <c r="D12" s="34"/>
      <c r="E12" s="31"/>
      <c r="F12" s="31"/>
      <c r="G12" s="35"/>
      <c r="H12" s="36"/>
      <c r="I12" s="9"/>
      <c r="J12" s="2"/>
      <c r="K12" s="37"/>
      <c r="L12" s="38"/>
      <c r="M12" s="38"/>
      <c r="N12" s="39"/>
      <c r="O12" s="4"/>
      <c r="P12" s="5"/>
      <c r="Q12" s="5"/>
      <c r="R12" s="5"/>
      <c r="S12" s="5"/>
      <c r="T12" s="19"/>
      <c r="Z12" s="20"/>
    </row>
    <row r="13">
      <c r="A13" s="40"/>
      <c r="B13" s="40"/>
      <c r="C13" s="40"/>
      <c r="D13" s="40"/>
      <c r="E13" s="40"/>
      <c r="F13" s="40"/>
      <c r="G13" s="41"/>
      <c r="H13" s="36"/>
      <c r="I13" s="9"/>
      <c r="J13" s="2"/>
      <c r="K13" s="42" t="s">
        <v>2</v>
      </c>
      <c r="L13" s="17"/>
      <c r="M13" s="17"/>
      <c r="N13" s="18"/>
      <c r="O13" s="4"/>
      <c r="P13" s="5"/>
      <c r="Q13" s="5"/>
      <c r="R13" s="5"/>
      <c r="S13" s="5"/>
      <c r="T13" s="19"/>
      <c r="Z13" s="20"/>
    </row>
    <row r="14">
      <c r="A14" s="40"/>
      <c r="B14" s="40"/>
      <c r="C14" s="40"/>
      <c r="D14" s="40"/>
      <c r="E14" s="40"/>
      <c r="F14" s="40"/>
      <c r="G14" s="43"/>
      <c r="H14" s="33"/>
      <c r="I14" s="9"/>
      <c r="J14" s="2"/>
      <c r="K14" s="23"/>
      <c r="N14" s="24"/>
      <c r="O14" s="4"/>
      <c r="P14" s="5"/>
      <c r="Q14" s="5"/>
      <c r="R14" s="5"/>
      <c r="S14" s="5"/>
      <c r="T14" s="19"/>
      <c r="Z14" s="20"/>
    </row>
    <row r="15">
      <c r="A15" s="40"/>
      <c r="B15" s="44" t="s">
        <v>3</v>
      </c>
      <c r="H15" s="20"/>
      <c r="I15" s="9"/>
      <c r="J15" s="2"/>
      <c r="K15" s="23"/>
      <c r="N15" s="24"/>
      <c r="O15" s="4"/>
      <c r="P15" s="5"/>
      <c r="Q15" s="5"/>
      <c r="R15" s="5"/>
      <c r="S15" s="5"/>
      <c r="T15" s="19"/>
      <c r="Z15" s="20"/>
    </row>
    <row r="16" ht="30.0" customHeight="1">
      <c r="A16" s="40"/>
      <c r="B16" s="45"/>
      <c r="C16" s="45"/>
      <c r="D16" s="45"/>
      <c r="E16" s="45"/>
      <c r="F16" s="45"/>
      <c r="G16" s="45"/>
      <c r="H16" s="46"/>
      <c r="I16" s="9"/>
      <c r="J16" s="2"/>
      <c r="K16" s="23"/>
      <c r="N16" s="24"/>
      <c r="O16" s="4"/>
      <c r="P16" s="5"/>
      <c r="Q16" s="5"/>
      <c r="R16" s="5"/>
      <c r="S16" s="5"/>
      <c r="T16" s="19"/>
      <c r="Z16" s="20"/>
    </row>
    <row r="17">
      <c r="A17" s="40"/>
      <c r="B17" s="47"/>
      <c r="C17" s="48" t="s">
        <v>4</v>
      </c>
      <c r="D17" s="49"/>
      <c r="E17" s="49"/>
      <c r="F17" s="49"/>
      <c r="G17" s="50"/>
      <c r="H17" s="10"/>
      <c r="I17" s="9"/>
      <c r="J17" s="2"/>
      <c r="K17" s="23"/>
      <c r="N17" s="24"/>
      <c r="O17" s="4"/>
      <c r="P17" s="5"/>
      <c r="Q17" s="5"/>
      <c r="R17" s="5"/>
      <c r="S17" s="5"/>
      <c r="T17" s="19"/>
      <c r="Z17" s="20"/>
    </row>
    <row r="18">
      <c r="A18" s="40"/>
      <c r="B18" s="47"/>
      <c r="C18" s="5"/>
      <c r="D18" s="5"/>
      <c r="E18" s="5"/>
      <c r="F18" s="51"/>
      <c r="G18" s="52"/>
      <c r="H18" s="53"/>
      <c r="I18" s="9"/>
      <c r="J18" s="2"/>
      <c r="K18" s="23"/>
      <c r="N18" s="24"/>
      <c r="O18" s="4"/>
      <c r="P18" s="5"/>
      <c r="Q18" s="5"/>
      <c r="R18" s="5"/>
      <c r="S18" s="5"/>
      <c r="T18" s="19"/>
      <c r="Z18" s="20"/>
    </row>
    <row r="19">
      <c r="A19" s="40"/>
      <c r="B19" s="47"/>
      <c r="C19" s="5"/>
      <c r="D19" s="54" t="s">
        <v>5</v>
      </c>
      <c r="E19" s="11"/>
      <c r="F19" s="12"/>
      <c r="G19" s="52"/>
      <c r="H19" s="53"/>
      <c r="I19" s="9"/>
      <c r="J19" s="2"/>
      <c r="K19" s="23"/>
      <c r="N19" s="24"/>
      <c r="O19" s="4"/>
      <c r="P19" s="5"/>
      <c r="Q19" s="5"/>
      <c r="R19" s="5"/>
      <c r="S19" s="5"/>
      <c r="T19" s="19"/>
      <c r="Z19" s="20"/>
    </row>
    <row r="20">
      <c r="A20" s="40"/>
      <c r="B20" s="47"/>
      <c r="C20" s="5"/>
      <c r="D20" s="55"/>
      <c r="E20" s="45"/>
      <c r="F20" s="46"/>
      <c r="G20" s="52"/>
      <c r="H20" s="56"/>
      <c r="I20" s="9"/>
      <c r="J20" s="2"/>
      <c r="K20" s="23"/>
      <c r="N20" s="24"/>
      <c r="O20" s="4"/>
      <c r="P20" s="5"/>
      <c r="Q20" s="5"/>
      <c r="R20" s="5"/>
      <c r="S20" s="5"/>
      <c r="T20" s="19"/>
      <c r="Z20" s="20"/>
    </row>
    <row r="21">
      <c r="A21" s="40"/>
      <c r="B21" s="57"/>
      <c r="C21" s="11"/>
      <c r="D21" s="11"/>
      <c r="E21" s="11"/>
      <c r="F21" s="11"/>
      <c r="G21" s="11"/>
      <c r="H21" s="12"/>
      <c r="I21" s="9"/>
      <c r="J21" s="2"/>
      <c r="K21" s="23"/>
      <c r="N21" s="24"/>
      <c r="O21" s="4"/>
      <c r="P21" s="5"/>
      <c r="Q21" s="5"/>
      <c r="R21" s="5"/>
      <c r="S21" s="5"/>
      <c r="T21" s="19"/>
      <c r="Z21" s="20"/>
    </row>
    <row r="22">
      <c r="A22" s="40"/>
      <c r="B22" s="45"/>
      <c r="C22" s="45"/>
      <c r="D22" s="45"/>
      <c r="E22" s="45"/>
      <c r="F22" s="45"/>
      <c r="G22" s="45"/>
      <c r="H22" s="46"/>
      <c r="I22" s="9"/>
      <c r="J22" s="2"/>
      <c r="K22" s="23"/>
      <c r="N22" s="24"/>
      <c r="O22" s="4"/>
      <c r="P22" s="5"/>
      <c r="Q22" s="5"/>
      <c r="R22" s="5"/>
      <c r="S22" s="5"/>
      <c r="T22" s="19"/>
      <c r="Z22" s="20"/>
    </row>
    <row r="23" ht="106.5" customHeight="1">
      <c r="A23" s="40"/>
      <c r="B23" s="40"/>
      <c r="C23" s="40"/>
      <c r="D23" s="40"/>
      <c r="E23" s="40"/>
      <c r="F23" s="40"/>
      <c r="G23" s="40"/>
      <c r="H23" s="58"/>
      <c r="I23" s="9"/>
      <c r="J23" s="2"/>
      <c r="K23" s="28"/>
      <c r="L23" s="29"/>
      <c r="M23" s="29"/>
      <c r="N23" s="30"/>
      <c r="O23" s="4"/>
      <c r="P23" s="5"/>
      <c r="Q23" s="5"/>
      <c r="R23" s="5"/>
      <c r="S23" s="5"/>
      <c r="T23" s="19"/>
      <c r="Z23" s="20"/>
    </row>
    <row r="24">
      <c r="A24" s="40"/>
      <c r="B24" s="40"/>
      <c r="C24" s="40"/>
      <c r="D24" s="40"/>
      <c r="E24" s="40"/>
      <c r="F24" s="40"/>
      <c r="G24" s="40"/>
      <c r="H24" s="40"/>
      <c r="I24" s="31"/>
      <c r="J24" s="2"/>
      <c r="K24" s="3"/>
      <c r="L24" s="3"/>
      <c r="M24" s="3"/>
      <c r="N24" s="3"/>
      <c r="O24" s="4"/>
      <c r="P24" s="5"/>
      <c r="Q24" s="5"/>
      <c r="R24" s="5"/>
      <c r="S24" s="5"/>
      <c r="T24" s="19"/>
      <c r="Z24" s="20"/>
    </row>
    <row r="25">
      <c r="A25" s="59"/>
      <c r="B25" s="59"/>
      <c r="C25" s="59"/>
      <c r="D25" s="59"/>
      <c r="E25" s="59"/>
      <c r="F25" s="59"/>
      <c r="G25" s="59"/>
      <c r="H25" s="59"/>
      <c r="I25" s="59"/>
      <c r="J25" s="59"/>
      <c r="K25" s="59"/>
      <c r="L25" s="59"/>
      <c r="M25" s="59"/>
      <c r="N25" s="59"/>
      <c r="O25" s="59"/>
      <c r="P25" s="5"/>
      <c r="Q25" s="5"/>
      <c r="R25" s="5"/>
      <c r="S25" s="5"/>
      <c r="T25" s="19"/>
      <c r="Z25" s="20"/>
    </row>
    <row r="26">
      <c r="A26" s="5"/>
      <c r="B26" s="5"/>
      <c r="C26" s="5"/>
      <c r="D26" s="5"/>
      <c r="E26" s="5"/>
      <c r="F26" s="5"/>
      <c r="G26" s="5"/>
      <c r="H26" s="5"/>
      <c r="I26" s="5"/>
      <c r="J26" s="5"/>
      <c r="K26" s="5"/>
      <c r="L26" s="5"/>
      <c r="M26" s="5"/>
      <c r="N26" s="5"/>
      <c r="O26" s="5"/>
      <c r="P26" s="5"/>
      <c r="Q26" s="5"/>
      <c r="R26" s="5"/>
      <c r="S26" s="5"/>
      <c r="T26" s="19"/>
      <c r="Z26" s="20"/>
    </row>
    <row r="27">
      <c r="A27" s="5"/>
      <c r="B27" s="5"/>
      <c r="C27" s="5"/>
      <c r="D27" s="5"/>
      <c r="E27" s="5"/>
      <c r="F27" s="5"/>
      <c r="G27" s="5"/>
      <c r="H27" s="5"/>
      <c r="I27" s="5"/>
      <c r="J27" s="5"/>
      <c r="K27" s="5"/>
      <c r="L27" s="5"/>
      <c r="M27" s="5"/>
      <c r="N27" s="5"/>
      <c r="O27" s="5"/>
      <c r="P27" s="5"/>
      <c r="Q27" s="5"/>
      <c r="R27" s="5"/>
      <c r="S27" s="5"/>
      <c r="T27" s="19"/>
      <c r="Z27" s="20"/>
    </row>
    <row r="28">
      <c r="A28" s="5"/>
      <c r="B28" s="5"/>
      <c r="C28" s="5"/>
      <c r="D28" s="5"/>
      <c r="E28" s="5"/>
      <c r="F28" s="5"/>
      <c r="G28" s="5"/>
      <c r="H28" s="5"/>
      <c r="I28" s="5"/>
      <c r="J28" s="5"/>
      <c r="K28" s="5"/>
      <c r="L28" s="5"/>
      <c r="M28" s="5"/>
      <c r="N28" s="5"/>
      <c r="O28" s="5"/>
      <c r="P28" s="5"/>
      <c r="Q28" s="5"/>
      <c r="R28" s="5"/>
      <c r="S28" s="5"/>
      <c r="T28" s="19"/>
      <c r="Z28" s="20"/>
    </row>
    <row r="29">
      <c r="A29" s="5"/>
      <c r="B29" s="5"/>
      <c r="C29" s="5"/>
      <c r="D29" s="5"/>
      <c r="E29" s="5"/>
      <c r="F29" s="5"/>
      <c r="G29" s="5"/>
      <c r="H29" s="5"/>
      <c r="I29" s="5"/>
      <c r="J29" s="5"/>
      <c r="K29" s="5"/>
      <c r="L29" s="5"/>
      <c r="M29" s="5"/>
      <c r="N29" s="5"/>
      <c r="O29" s="5"/>
      <c r="P29" s="5"/>
      <c r="Q29" s="5"/>
      <c r="R29" s="5"/>
      <c r="S29" s="5"/>
      <c r="T29" s="19"/>
      <c r="Z29" s="20"/>
    </row>
    <row r="30">
      <c r="A30" s="5"/>
      <c r="B30" s="5"/>
      <c r="C30" s="5"/>
      <c r="D30" s="5"/>
      <c r="E30" s="5"/>
      <c r="F30" s="5"/>
      <c r="G30" s="5"/>
      <c r="H30" s="5"/>
      <c r="I30" s="5"/>
      <c r="J30" s="5"/>
      <c r="K30" s="5"/>
      <c r="L30" s="5"/>
      <c r="M30" s="5"/>
      <c r="N30" s="5"/>
      <c r="O30" s="5"/>
      <c r="P30" s="5"/>
      <c r="Q30" s="5"/>
      <c r="R30" s="5"/>
      <c r="S30" s="5"/>
      <c r="T30" s="19"/>
      <c r="Z30" s="20"/>
    </row>
    <row r="31">
      <c r="A31" s="5"/>
      <c r="B31" s="5"/>
      <c r="C31" s="5"/>
      <c r="D31" s="5"/>
      <c r="E31" s="5"/>
      <c r="F31" s="5"/>
      <c r="G31" s="5"/>
      <c r="H31" s="5"/>
      <c r="I31" s="5"/>
      <c r="J31" s="5"/>
      <c r="K31" s="5"/>
      <c r="L31" s="5"/>
      <c r="M31" s="5"/>
      <c r="N31" s="5"/>
      <c r="O31" s="5"/>
      <c r="P31" s="5"/>
      <c r="Q31" s="5"/>
      <c r="R31" s="5"/>
      <c r="S31" s="5"/>
      <c r="T31" s="19"/>
      <c r="Z31" s="20"/>
    </row>
    <row r="32">
      <c r="A32" s="5"/>
      <c r="B32" s="5"/>
      <c r="C32" s="5"/>
      <c r="D32" s="5"/>
      <c r="E32" s="5"/>
      <c r="F32" s="5"/>
      <c r="G32" s="5"/>
      <c r="H32" s="5"/>
      <c r="I32" s="5"/>
      <c r="J32" s="5"/>
      <c r="K32" s="5"/>
      <c r="L32" s="5"/>
      <c r="M32" s="5"/>
      <c r="N32" s="5"/>
      <c r="O32" s="5"/>
      <c r="P32" s="5"/>
      <c r="Q32" s="5"/>
      <c r="R32" s="5"/>
      <c r="S32" s="5"/>
      <c r="T32" s="19"/>
      <c r="Z32" s="20"/>
    </row>
    <row r="33">
      <c r="A33" s="5"/>
      <c r="B33" s="5"/>
      <c r="C33" s="5"/>
      <c r="D33" s="5"/>
      <c r="E33" s="5"/>
      <c r="F33" s="5"/>
      <c r="G33" s="5"/>
      <c r="H33" s="5"/>
      <c r="I33" s="5"/>
      <c r="J33" s="5"/>
      <c r="K33" s="5"/>
      <c r="L33" s="5"/>
      <c r="M33" s="5"/>
      <c r="N33" s="5"/>
      <c r="O33" s="5"/>
      <c r="P33" s="5"/>
      <c r="Q33" s="5"/>
      <c r="R33" s="5"/>
      <c r="S33" s="5"/>
      <c r="T33" s="19"/>
      <c r="Z33" s="20"/>
    </row>
    <row r="34">
      <c r="A34" s="5"/>
      <c r="B34" s="5"/>
      <c r="C34" s="5"/>
      <c r="D34" s="5"/>
      <c r="E34" s="5"/>
      <c r="F34" s="5"/>
      <c r="G34" s="5"/>
      <c r="H34" s="5"/>
      <c r="I34" s="5"/>
      <c r="J34" s="5"/>
      <c r="K34" s="5"/>
      <c r="L34" s="5"/>
      <c r="M34" s="5"/>
      <c r="N34" s="5"/>
      <c r="O34" s="5"/>
      <c r="P34" s="5"/>
      <c r="Q34" s="5"/>
      <c r="R34" s="5"/>
      <c r="S34" s="5"/>
      <c r="T34" s="19"/>
      <c r="Z34" s="20"/>
    </row>
    <row r="35">
      <c r="A35" s="5"/>
      <c r="B35" s="5"/>
      <c r="C35" s="5"/>
      <c r="D35" s="5"/>
      <c r="E35" s="5"/>
      <c r="F35" s="5"/>
      <c r="G35" s="5"/>
      <c r="H35" s="5"/>
      <c r="I35" s="5"/>
      <c r="J35" s="5"/>
      <c r="K35" s="5"/>
      <c r="L35" s="5"/>
      <c r="M35" s="5"/>
      <c r="N35" s="5"/>
      <c r="O35" s="5"/>
      <c r="P35" s="5"/>
      <c r="Q35" s="5"/>
      <c r="R35" s="5"/>
      <c r="S35" s="5"/>
      <c r="T35" s="19"/>
      <c r="Z35" s="20"/>
    </row>
    <row r="36">
      <c r="A36" s="5"/>
      <c r="B36" s="5"/>
      <c r="C36" s="5"/>
      <c r="D36" s="5"/>
      <c r="E36" s="5"/>
      <c r="F36" s="5"/>
      <c r="G36" s="5"/>
      <c r="H36" s="5"/>
      <c r="I36" s="5"/>
      <c r="J36" s="5"/>
      <c r="K36" s="5"/>
      <c r="L36" s="5"/>
      <c r="M36" s="5"/>
      <c r="N36" s="5"/>
      <c r="O36" s="5"/>
      <c r="P36" s="5"/>
      <c r="Q36" s="5"/>
      <c r="R36" s="5"/>
      <c r="S36" s="5"/>
      <c r="T36" s="19"/>
      <c r="Z36" s="20"/>
    </row>
    <row r="37">
      <c r="A37" s="5"/>
      <c r="B37" s="5"/>
      <c r="C37" s="5"/>
      <c r="D37" s="5"/>
      <c r="E37" s="5"/>
      <c r="F37" s="5"/>
      <c r="G37" s="5"/>
      <c r="H37" s="5"/>
      <c r="I37" s="5"/>
      <c r="J37" s="5"/>
      <c r="K37" s="5"/>
      <c r="L37" s="5"/>
      <c r="M37" s="5"/>
      <c r="N37" s="5"/>
      <c r="O37" s="5"/>
      <c r="P37" s="5"/>
      <c r="Q37" s="5"/>
      <c r="R37" s="5"/>
      <c r="S37" s="5"/>
      <c r="T37" s="19"/>
      <c r="Z37" s="20"/>
    </row>
    <row r="38">
      <c r="A38" s="5"/>
      <c r="B38" s="5"/>
      <c r="C38" s="5"/>
      <c r="D38" s="5"/>
      <c r="E38" s="5"/>
      <c r="F38" s="5"/>
      <c r="G38" s="5"/>
      <c r="H38" s="5"/>
      <c r="I38" s="5"/>
      <c r="J38" s="5"/>
      <c r="K38" s="5"/>
      <c r="L38" s="5"/>
      <c r="M38" s="5"/>
      <c r="N38" s="5"/>
      <c r="O38" s="5"/>
      <c r="P38" s="5"/>
      <c r="Q38" s="5"/>
      <c r="R38" s="5"/>
      <c r="S38" s="5"/>
      <c r="T38" s="19"/>
      <c r="Z38" s="20"/>
    </row>
    <row r="39">
      <c r="A39" s="5"/>
      <c r="B39" s="5"/>
      <c r="C39" s="5"/>
      <c r="D39" s="5"/>
      <c r="E39" s="5"/>
      <c r="F39" s="5"/>
      <c r="G39" s="5"/>
      <c r="H39" s="5"/>
      <c r="I39" s="5"/>
      <c r="J39" s="5"/>
      <c r="K39" s="5"/>
      <c r="L39" s="5"/>
      <c r="M39" s="5"/>
      <c r="N39" s="5"/>
      <c r="O39" s="5"/>
      <c r="P39" s="5"/>
      <c r="Q39" s="5"/>
      <c r="R39" s="5"/>
      <c r="S39" s="5"/>
      <c r="T39" s="19"/>
      <c r="Z39" s="20"/>
    </row>
    <row r="40">
      <c r="A40" s="5"/>
      <c r="B40" s="5"/>
      <c r="C40" s="5"/>
      <c r="D40" s="5"/>
      <c r="E40" s="5"/>
      <c r="F40" s="5"/>
      <c r="G40" s="5"/>
      <c r="H40" s="5"/>
      <c r="I40" s="5"/>
      <c r="J40" s="5"/>
      <c r="K40" s="5"/>
      <c r="L40" s="5"/>
      <c r="M40" s="5"/>
      <c r="N40" s="5"/>
      <c r="O40" s="5"/>
      <c r="P40" s="5"/>
      <c r="Q40" s="5"/>
      <c r="R40" s="5"/>
      <c r="S40" s="5"/>
      <c r="T40" s="19"/>
      <c r="Z40" s="20"/>
    </row>
    <row r="41">
      <c r="A41" s="5"/>
      <c r="B41" s="5"/>
      <c r="C41" s="5"/>
      <c r="D41" s="5"/>
      <c r="E41" s="5"/>
      <c r="F41" s="5"/>
      <c r="G41" s="5"/>
      <c r="H41" s="5"/>
      <c r="I41" s="5"/>
      <c r="J41" s="5"/>
      <c r="K41" s="5"/>
      <c r="L41" s="5"/>
      <c r="M41" s="5"/>
      <c r="N41" s="5"/>
      <c r="O41" s="5"/>
      <c r="P41" s="5"/>
      <c r="Q41" s="5"/>
      <c r="R41" s="5"/>
      <c r="S41" s="5"/>
      <c r="T41" s="19"/>
      <c r="Z41" s="20"/>
    </row>
    <row r="42">
      <c r="A42" s="5"/>
      <c r="B42" s="5"/>
      <c r="C42" s="5"/>
      <c r="D42" s="5"/>
      <c r="E42" s="5"/>
      <c r="F42" s="5"/>
      <c r="G42" s="5"/>
      <c r="H42" s="5"/>
      <c r="I42" s="5"/>
      <c r="J42" s="5"/>
      <c r="K42" s="5"/>
      <c r="L42" s="5"/>
      <c r="M42" s="5"/>
      <c r="N42" s="5"/>
      <c r="O42" s="5"/>
      <c r="P42" s="5"/>
      <c r="Q42" s="5"/>
      <c r="R42" s="5"/>
      <c r="S42" s="5"/>
      <c r="T42" s="19"/>
      <c r="Z42" s="20"/>
    </row>
    <row r="43">
      <c r="A43" s="5"/>
      <c r="B43" s="5"/>
      <c r="C43" s="5"/>
      <c r="D43" s="5"/>
      <c r="E43" s="5"/>
      <c r="F43" s="5"/>
      <c r="G43" s="5"/>
      <c r="H43" s="5"/>
      <c r="I43" s="5"/>
      <c r="J43" s="5"/>
      <c r="K43" s="5"/>
      <c r="L43" s="5"/>
      <c r="M43" s="5"/>
      <c r="N43" s="5"/>
      <c r="O43" s="5"/>
      <c r="P43" s="5"/>
      <c r="Q43" s="5"/>
      <c r="R43" s="5"/>
      <c r="S43" s="5"/>
      <c r="T43" s="19"/>
      <c r="Z43" s="20"/>
    </row>
    <row r="44">
      <c r="A44" s="60"/>
      <c r="B44" s="60"/>
      <c r="C44" s="60"/>
      <c r="D44" s="60"/>
      <c r="E44" s="60"/>
      <c r="F44" s="60"/>
      <c r="G44" s="60"/>
      <c r="H44" s="60"/>
      <c r="I44" s="60"/>
      <c r="J44" s="60"/>
      <c r="K44" s="60"/>
      <c r="L44" s="60"/>
      <c r="M44" s="60"/>
      <c r="N44" s="60"/>
      <c r="O44" s="60"/>
      <c r="P44" s="60"/>
      <c r="Q44" s="61"/>
      <c r="R44" s="61"/>
      <c r="S44" s="61"/>
      <c r="T44" s="55"/>
      <c r="U44" s="45"/>
      <c r="V44" s="45"/>
      <c r="W44" s="45"/>
      <c r="X44" s="45"/>
      <c r="Y44" s="45"/>
      <c r="Z44" s="46"/>
    </row>
    <row r="45">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c r="A1000" s="62"/>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row r="1001">
      <c r="A1001" s="62"/>
      <c r="B1001" s="62"/>
      <c r="C1001" s="62"/>
      <c r="D1001" s="62"/>
      <c r="E1001" s="62"/>
      <c r="F1001" s="62"/>
      <c r="G1001" s="62"/>
      <c r="H1001" s="62"/>
      <c r="I1001" s="62"/>
      <c r="J1001" s="62"/>
      <c r="K1001" s="62"/>
      <c r="L1001" s="62"/>
      <c r="M1001" s="62"/>
      <c r="N1001" s="62"/>
      <c r="O1001" s="62"/>
      <c r="P1001" s="62"/>
      <c r="Q1001" s="62"/>
      <c r="R1001" s="62"/>
      <c r="S1001" s="62"/>
      <c r="T1001" s="62"/>
      <c r="U1001" s="62"/>
      <c r="V1001" s="62"/>
      <c r="W1001" s="62"/>
      <c r="X1001" s="62"/>
      <c r="Y1001" s="62"/>
      <c r="Z1001" s="62"/>
    </row>
    <row r="1002">
      <c r="A1002" s="62"/>
      <c r="B1002" s="62"/>
      <c r="C1002" s="62"/>
      <c r="D1002" s="62"/>
      <c r="E1002" s="62"/>
      <c r="F1002" s="62"/>
      <c r="G1002" s="62"/>
      <c r="H1002" s="62"/>
      <c r="I1002" s="62"/>
      <c r="J1002" s="62"/>
      <c r="K1002" s="62"/>
      <c r="L1002" s="62"/>
      <c r="M1002" s="62"/>
      <c r="N1002" s="62"/>
      <c r="O1002" s="62"/>
      <c r="P1002" s="62"/>
      <c r="Q1002" s="62"/>
      <c r="R1002" s="62"/>
      <c r="S1002" s="62"/>
      <c r="T1002" s="62"/>
      <c r="U1002" s="62"/>
      <c r="V1002" s="62"/>
      <c r="W1002" s="62"/>
      <c r="X1002" s="62"/>
      <c r="Y1002" s="62"/>
      <c r="Z1002" s="62"/>
    </row>
  </sheetData>
  <mergeCells count="11">
    <mergeCell ref="B15:H16"/>
    <mergeCell ref="C17:G17"/>
    <mergeCell ref="D19:F20"/>
    <mergeCell ref="B21:H22"/>
    <mergeCell ref="T7:Z44"/>
    <mergeCell ref="B8:H11"/>
    <mergeCell ref="K8:N11"/>
    <mergeCell ref="B12:C12"/>
    <mergeCell ref="G12:H14"/>
    <mergeCell ref="K12:N12"/>
    <mergeCell ref="K13:N2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5.43"/>
    <col customWidth="1" min="2" max="2" width="39.57"/>
    <col customWidth="1" min="3" max="3" width="81.14"/>
    <col customWidth="1" min="4" max="4" width="137.43"/>
    <col customWidth="1" min="5" max="26" width="8.86"/>
  </cols>
  <sheetData>
    <row r="1">
      <c r="A1" s="63"/>
      <c r="B1" s="64" t="s">
        <v>6</v>
      </c>
      <c r="C1" s="65"/>
      <c r="D1" s="66"/>
      <c r="E1" s="67"/>
      <c r="F1" s="67"/>
      <c r="G1" s="67"/>
      <c r="H1" s="67"/>
      <c r="I1" s="67"/>
      <c r="J1" s="67"/>
      <c r="K1" s="67"/>
      <c r="L1" s="67"/>
      <c r="M1" s="67"/>
      <c r="N1" s="67"/>
      <c r="O1" s="67"/>
      <c r="P1" s="67"/>
      <c r="Q1" s="67"/>
      <c r="R1" s="67"/>
      <c r="S1" s="67"/>
      <c r="T1" s="67"/>
      <c r="U1" s="67"/>
      <c r="V1" s="67"/>
      <c r="W1" s="67"/>
      <c r="X1" s="67"/>
      <c r="Y1" s="67"/>
      <c r="Z1" s="67"/>
    </row>
    <row r="2" ht="19.5" customHeight="1">
      <c r="A2" s="68"/>
      <c r="B2" s="69" t="s">
        <v>7</v>
      </c>
      <c r="C2" s="70"/>
      <c r="D2" s="71"/>
      <c r="E2" s="72"/>
      <c r="F2" s="72"/>
      <c r="G2" s="72"/>
      <c r="H2" s="72"/>
      <c r="I2" s="72"/>
      <c r="J2" s="72"/>
      <c r="K2" s="72"/>
      <c r="L2" s="72"/>
      <c r="M2" s="72"/>
      <c r="N2" s="72"/>
      <c r="O2" s="72"/>
      <c r="P2" s="72"/>
      <c r="Q2" s="72"/>
      <c r="R2" s="72"/>
      <c r="S2" s="72"/>
      <c r="T2" s="72"/>
      <c r="U2" s="72"/>
      <c r="V2" s="72"/>
      <c r="W2" s="72"/>
      <c r="X2" s="72"/>
      <c r="Y2" s="72"/>
      <c r="Z2" s="72"/>
    </row>
    <row r="3" ht="34.5" customHeight="1">
      <c r="A3" s="73" t="s">
        <v>8</v>
      </c>
      <c r="B3" s="74"/>
      <c r="C3" s="74"/>
      <c r="D3" s="75"/>
      <c r="E3" s="72"/>
      <c r="F3" s="72"/>
      <c r="G3" s="72"/>
      <c r="H3" s="72"/>
      <c r="I3" s="72"/>
      <c r="J3" s="72"/>
      <c r="K3" s="72"/>
      <c r="L3" s="72"/>
      <c r="M3" s="72"/>
      <c r="N3" s="72"/>
      <c r="O3" s="72"/>
      <c r="P3" s="72"/>
      <c r="Q3" s="72"/>
      <c r="R3" s="72"/>
      <c r="S3" s="72"/>
      <c r="T3" s="72"/>
      <c r="U3" s="72"/>
      <c r="V3" s="72"/>
      <c r="W3" s="72"/>
      <c r="X3" s="72"/>
      <c r="Y3" s="72"/>
      <c r="Z3" s="72"/>
    </row>
    <row r="4" ht="15.75" customHeight="1">
      <c r="A4" s="76"/>
      <c r="B4" s="77" t="s">
        <v>9</v>
      </c>
      <c r="C4" s="78" t="s">
        <v>10</v>
      </c>
      <c r="D4" s="79" t="s">
        <v>11</v>
      </c>
      <c r="E4" s="72"/>
      <c r="F4" s="72"/>
      <c r="G4" s="72"/>
      <c r="H4" s="72"/>
      <c r="I4" s="72"/>
      <c r="J4" s="72"/>
      <c r="K4" s="72"/>
      <c r="L4" s="72"/>
      <c r="M4" s="72"/>
      <c r="N4" s="72"/>
      <c r="O4" s="72"/>
      <c r="P4" s="72"/>
      <c r="Q4" s="72"/>
      <c r="R4" s="72"/>
      <c r="S4" s="72"/>
      <c r="T4" s="72"/>
      <c r="U4" s="72"/>
      <c r="V4" s="72"/>
      <c r="W4" s="72"/>
      <c r="X4" s="72"/>
      <c r="Y4" s="72"/>
      <c r="Z4" s="72"/>
    </row>
    <row r="5" ht="15.0" customHeight="1">
      <c r="A5" s="80" t="s">
        <v>12</v>
      </c>
      <c r="B5" s="81" t="s">
        <v>13</v>
      </c>
      <c r="C5" s="82"/>
      <c r="D5" s="83"/>
      <c r="E5" s="72"/>
      <c r="F5" s="72"/>
      <c r="G5" s="72"/>
      <c r="H5" s="72"/>
      <c r="I5" s="72"/>
      <c r="J5" s="72"/>
      <c r="K5" s="72"/>
      <c r="L5" s="72"/>
      <c r="M5" s="72"/>
      <c r="N5" s="72"/>
      <c r="O5" s="72"/>
      <c r="P5" s="72"/>
      <c r="Q5" s="72"/>
      <c r="R5" s="72"/>
      <c r="S5" s="72"/>
      <c r="T5" s="72"/>
      <c r="U5" s="72"/>
      <c r="V5" s="72"/>
      <c r="W5" s="72"/>
      <c r="X5" s="72"/>
      <c r="Y5" s="72"/>
      <c r="Z5" s="72"/>
    </row>
    <row r="6" ht="15.0" customHeight="1">
      <c r="A6" s="84"/>
      <c r="B6" s="85"/>
      <c r="C6" s="86" t="s">
        <v>14</v>
      </c>
      <c r="D6" s="87" t="s">
        <v>15</v>
      </c>
      <c r="E6" s="72"/>
      <c r="F6" s="72"/>
      <c r="G6" s="72"/>
      <c r="H6" s="72"/>
      <c r="I6" s="72"/>
      <c r="J6" s="72"/>
      <c r="K6" s="72"/>
      <c r="L6" s="72"/>
      <c r="M6" s="72"/>
      <c r="N6" s="72"/>
      <c r="O6" s="72"/>
      <c r="P6" s="72"/>
      <c r="Q6" s="72"/>
      <c r="R6" s="72"/>
      <c r="S6" s="72"/>
      <c r="T6" s="72"/>
      <c r="U6" s="72"/>
      <c r="V6" s="72"/>
      <c r="W6" s="72"/>
      <c r="X6" s="72"/>
      <c r="Y6" s="72"/>
      <c r="Z6" s="72"/>
    </row>
    <row r="7" ht="15.0" customHeight="1">
      <c r="A7" s="84"/>
      <c r="B7" s="88"/>
      <c r="C7" s="89" t="s">
        <v>16</v>
      </c>
      <c r="D7" s="90" t="s">
        <v>17</v>
      </c>
      <c r="E7" s="72"/>
      <c r="F7" s="72"/>
      <c r="G7" s="72"/>
      <c r="H7" s="72"/>
      <c r="I7" s="72"/>
      <c r="J7" s="72"/>
      <c r="K7" s="72"/>
      <c r="L7" s="72"/>
      <c r="M7" s="72"/>
      <c r="N7" s="72"/>
      <c r="O7" s="72"/>
      <c r="P7" s="72"/>
      <c r="Q7" s="72"/>
      <c r="R7" s="72"/>
      <c r="S7" s="72"/>
      <c r="T7" s="72"/>
      <c r="U7" s="72"/>
      <c r="V7" s="72"/>
      <c r="W7" s="72"/>
      <c r="X7" s="72"/>
      <c r="Y7" s="72"/>
      <c r="Z7" s="72"/>
    </row>
    <row r="8" ht="15.0" customHeight="1">
      <c r="A8" s="84"/>
      <c r="B8" s="88"/>
      <c r="C8" s="91" t="s">
        <v>18</v>
      </c>
      <c r="D8" s="92" t="s">
        <v>19</v>
      </c>
      <c r="E8" s="72"/>
      <c r="F8" s="72"/>
      <c r="G8" s="72"/>
      <c r="H8" s="72"/>
      <c r="I8" s="72"/>
      <c r="J8" s="72"/>
      <c r="K8" s="72"/>
      <c r="L8" s="72"/>
      <c r="M8" s="72"/>
      <c r="N8" s="72"/>
      <c r="O8" s="72"/>
      <c r="P8" s="72"/>
      <c r="Q8" s="72"/>
      <c r="R8" s="72"/>
      <c r="S8" s="72"/>
      <c r="T8" s="72"/>
      <c r="U8" s="72"/>
      <c r="V8" s="72"/>
      <c r="W8" s="72"/>
      <c r="X8" s="72"/>
      <c r="Y8" s="72"/>
      <c r="Z8" s="72"/>
    </row>
    <row r="9" ht="15.0" customHeight="1">
      <c r="A9" s="84"/>
      <c r="B9" s="93" t="s">
        <v>20</v>
      </c>
      <c r="C9" s="94"/>
      <c r="D9" s="95"/>
      <c r="E9" s="96"/>
      <c r="F9" s="96"/>
      <c r="G9" s="96"/>
      <c r="H9" s="96"/>
      <c r="I9" s="96"/>
      <c r="J9" s="96"/>
      <c r="K9" s="96"/>
      <c r="L9" s="96"/>
      <c r="M9" s="96"/>
      <c r="N9" s="96"/>
      <c r="O9" s="96"/>
      <c r="P9" s="96"/>
      <c r="Q9" s="96"/>
      <c r="R9" s="96"/>
      <c r="S9" s="96"/>
      <c r="T9" s="96"/>
      <c r="U9" s="96"/>
      <c r="V9" s="96"/>
      <c r="W9" s="96"/>
      <c r="X9" s="96"/>
      <c r="Y9" s="96"/>
      <c r="Z9" s="96"/>
    </row>
    <row r="10" ht="15.0" customHeight="1">
      <c r="A10" s="84"/>
      <c r="B10" s="97"/>
      <c r="C10" s="98" t="s">
        <v>21</v>
      </c>
      <c r="D10" s="87" t="s">
        <v>22</v>
      </c>
      <c r="E10" s="96"/>
      <c r="F10" s="96"/>
      <c r="G10" s="96"/>
      <c r="H10" s="96"/>
      <c r="I10" s="96"/>
      <c r="J10" s="96"/>
      <c r="K10" s="96"/>
      <c r="L10" s="96"/>
      <c r="M10" s="96"/>
      <c r="N10" s="96"/>
      <c r="O10" s="96"/>
      <c r="P10" s="96"/>
      <c r="Q10" s="96"/>
      <c r="R10" s="96"/>
      <c r="S10" s="96"/>
      <c r="T10" s="96"/>
      <c r="U10" s="96"/>
      <c r="V10" s="96"/>
      <c r="W10" s="96"/>
      <c r="X10" s="96"/>
      <c r="Y10" s="96"/>
      <c r="Z10" s="96"/>
    </row>
    <row r="11" ht="15.0" customHeight="1">
      <c r="A11" s="84"/>
      <c r="B11" s="99"/>
      <c r="C11" s="100" t="s">
        <v>23</v>
      </c>
      <c r="D11" s="90" t="s">
        <v>24</v>
      </c>
      <c r="E11" s="96"/>
      <c r="F11" s="96"/>
      <c r="G11" s="96"/>
      <c r="H11" s="96"/>
      <c r="I11" s="96"/>
      <c r="J11" s="96"/>
      <c r="K11" s="96"/>
      <c r="L11" s="96"/>
      <c r="M11" s="96"/>
      <c r="N11" s="96"/>
      <c r="O11" s="96"/>
      <c r="P11" s="96"/>
      <c r="Q11" s="96"/>
      <c r="R11" s="96"/>
      <c r="S11" s="96"/>
      <c r="T11" s="96"/>
      <c r="U11" s="96"/>
      <c r="V11" s="96"/>
      <c r="W11" s="96"/>
      <c r="X11" s="96"/>
      <c r="Y11" s="96"/>
      <c r="Z11" s="96"/>
    </row>
    <row r="12" ht="15.0" customHeight="1">
      <c r="A12" s="84"/>
      <c r="B12" s="99"/>
      <c r="C12" s="100" t="s">
        <v>25</v>
      </c>
      <c r="D12" s="90" t="s">
        <v>26</v>
      </c>
      <c r="E12" s="96"/>
      <c r="F12" s="96"/>
      <c r="G12" s="96"/>
      <c r="H12" s="96"/>
      <c r="I12" s="96"/>
      <c r="J12" s="96"/>
      <c r="K12" s="96"/>
      <c r="L12" s="96"/>
      <c r="M12" s="96"/>
      <c r="N12" s="96"/>
      <c r="O12" s="96"/>
      <c r="P12" s="96"/>
      <c r="Q12" s="96"/>
      <c r="R12" s="96"/>
      <c r="S12" s="96"/>
      <c r="T12" s="96"/>
      <c r="U12" s="96"/>
      <c r="V12" s="96"/>
      <c r="W12" s="96"/>
      <c r="X12" s="96"/>
      <c r="Y12" s="96"/>
      <c r="Z12" s="96"/>
    </row>
    <row r="13" ht="15.0" customHeight="1">
      <c r="A13" s="84"/>
      <c r="B13" s="99"/>
      <c r="C13" s="100" t="s">
        <v>27</v>
      </c>
      <c r="D13" s="90" t="s">
        <v>28</v>
      </c>
      <c r="E13" s="96"/>
      <c r="F13" s="96"/>
      <c r="G13" s="96"/>
      <c r="H13" s="96"/>
      <c r="I13" s="96"/>
      <c r="J13" s="96"/>
      <c r="K13" s="96"/>
      <c r="L13" s="96"/>
      <c r="M13" s="96"/>
      <c r="N13" s="96"/>
      <c r="O13" s="96"/>
      <c r="P13" s="96"/>
      <c r="Q13" s="96"/>
      <c r="R13" s="96"/>
      <c r="S13" s="96"/>
      <c r="T13" s="96"/>
      <c r="U13" s="96"/>
      <c r="V13" s="96"/>
      <c r="W13" s="96"/>
      <c r="X13" s="96"/>
      <c r="Y13" s="96"/>
      <c r="Z13" s="96"/>
    </row>
    <row r="14" ht="15.0" customHeight="1">
      <c r="A14" s="84"/>
      <c r="B14" s="99"/>
      <c r="C14" s="100" t="s">
        <v>29</v>
      </c>
      <c r="D14" s="90" t="s">
        <v>30</v>
      </c>
      <c r="E14" s="96"/>
      <c r="F14" s="96"/>
      <c r="G14" s="96"/>
      <c r="H14" s="96"/>
      <c r="I14" s="96"/>
      <c r="J14" s="96"/>
      <c r="K14" s="96"/>
      <c r="L14" s="96"/>
      <c r="M14" s="96"/>
      <c r="N14" s="96"/>
      <c r="O14" s="96"/>
      <c r="P14" s="96"/>
      <c r="Q14" s="96"/>
      <c r="R14" s="96"/>
      <c r="S14" s="96"/>
      <c r="T14" s="96"/>
      <c r="U14" s="96"/>
      <c r="V14" s="96"/>
      <c r="W14" s="96"/>
      <c r="X14" s="96"/>
      <c r="Y14" s="96"/>
      <c r="Z14" s="96"/>
    </row>
    <row r="15" ht="15.0" customHeight="1">
      <c r="A15" s="84"/>
      <c r="B15" s="99"/>
      <c r="C15" s="100" t="s">
        <v>31</v>
      </c>
      <c r="D15" s="90" t="s">
        <v>32</v>
      </c>
      <c r="E15" s="96"/>
      <c r="F15" s="96"/>
      <c r="G15" s="96"/>
      <c r="H15" s="96"/>
      <c r="I15" s="96"/>
      <c r="J15" s="96"/>
      <c r="K15" s="96"/>
      <c r="L15" s="96"/>
      <c r="M15" s="96"/>
      <c r="N15" s="96"/>
      <c r="O15" s="96"/>
      <c r="P15" s="96"/>
      <c r="Q15" s="96"/>
      <c r="R15" s="96"/>
      <c r="S15" s="96"/>
      <c r="T15" s="96"/>
      <c r="U15" s="96"/>
      <c r="V15" s="96"/>
      <c r="W15" s="96"/>
      <c r="X15" s="96"/>
      <c r="Y15" s="96"/>
      <c r="Z15" s="96"/>
    </row>
    <row r="16" ht="15.0" customHeight="1">
      <c r="A16" s="84"/>
      <c r="B16" s="99"/>
      <c r="C16" s="101" t="s">
        <v>33</v>
      </c>
      <c r="D16" s="92" t="s">
        <v>34</v>
      </c>
      <c r="E16" s="96"/>
      <c r="F16" s="96"/>
      <c r="G16" s="96"/>
      <c r="H16" s="96"/>
      <c r="I16" s="96"/>
      <c r="J16" s="96"/>
      <c r="K16" s="96"/>
      <c r="L16" s="96"/>
      <c r="M16" s="96"/>
      <c r="N16" s="96"/>
      <c r="O16" s="96"/>
      <c r="P16" s="96"/>
      <c r="Q16" s="96"/>
      <c r="R16" s="96"/>
      <c r="S16" s="96"/>
      <c r="T16" s="96"/>
      <c r="U16" s="96"/>
      <c r="V16" s="96"/>
      <c r="W16" s="96"/>
      <c r="X16" s="96"/>
      <c r="Y16" s="96"/>
      <c r="Z16" s="96"/>
    </row>
    <row r="17" ht="15.0" customHeight="1">
      <c r="A17" s="84"/>
      <c r="B17" s="93" t="s">
        <v>35</v>
      </c>
      <c r="C17" s="94"/>
      <c r="D17" s="95"/>
      <c r="E17" s="96"/>
      <c r="F17" s="96"/>
      <c r="G17" s="96"/>
      <c r="H17" s="96"/>
      <c r="I17" s="96"/>
      <c r="J17" s="96"/>
      <c r="K17" s="96"/>
      <c r="L17" s="96"/>
      <c r="M17" s="96"/>
      <c r="N17" s="96"/>
      <c r="O17" s="96"/>
      <c r="P17" s="96"/>
      <c r="Q17" s="96"/>
      <c r="R17" s="96"/>
      <c r="S17" s="96"/>
      <c r="T17" s="96"/>
      <c r="U17" s="96"/>
      <c r="V17" s="96"/>
      <c r="W17" s="96"/>
      <c r="X17" s="96"/>
      <c r="Y17" s="96"/>
      <c r="Z17" s="96"/>
    </row>
    <row r="18" ht="15.0" customHeight="1">
      <c r="A18" s="84"/>
      <c r="B18" s="97"/>
      <c r="C18" s="98" t="s">
        <v>36</v>
      </c>
      <c r="D18" s="102" t="s">
        <v>37</v>
      </c>
      <c r="E18" s="96"/>
      <c r="F18" s="96"/>
      <c r="G18" s="96"/>
      <c r="H18" s="96"/>
      <c r="I18" s="96"/>
      <c r="J18" s="96"/>
      <c r="K18" s="96"/>
      <c r="L18" s="96"/>
      <c r="M18" s="96"/>
      <c r="N18" s="96"/>
      <c r="O18" s="96"/>
      <c r="P18" s="96"/>
      <c r="Q18" s="96"/>
      <c r="R18" s="96"/>
      <c r="S18" s="96"/>
      <c r="T18" s="96"/>
      <c r="U18" s="96"/>
      <c r="V18" s="96"/>
      <c r="W18" s="96"/>
      <c r="X18" s="96"/>
      <c r="Y18" s="96"/>
      <c r="Z18" s="96"/>
    </row>
    <row r="19" ht="15.0" customHeight="1">
      <c r="A19" s="84"/>
      <c r="B19" s="99"/>
      <c r="C19" s="101" t="s">
        <v>38</v>
      </c>
      <c r="D19" s="103" t="s">
        <v>37</v>
      </c>
      <c r="E19" s="96"/>
      <c r="F19" s="96"/>
      <c r="G19" s="96"/>
      <c r="H19" s="96"/>
      <c r="I19" s="96"/>
      <c r="J19" s="96"/>
      <c r="K19" s="96"/>
      <c r="L19" s="96"/>
      <c r="M19" s="96"/>
      <c r="N19" s="96"/>
      <c r="O19" s="96"/>
      <c r="P19" s="96"/>
      <c r="Q19" s="96"/>
      <c r="R19" s="96"/>
      <c r="S19" s="96"/>
      <c r="T19" s="96"/>
      <c r="U19" s="96"/>
      <c r="V19" s="96"/>
      <c r="W19" s="96"/>
      <c r="X19" s="96"/>
      <c r="Y19" s="96"/>
      <c r="Z19" s="96"/>
    </row>
    <row r="20" ht="15.0" customHeight="1">
      <c r="A20" s="84"/>
      <c r="B20" s="93" t="s">
        <v>39</v>
      </c>
      <c r="C20" s="94"/>
      <c r="D20" s="95"/>
      <c r="E20" s="96"/>
      <c r="F20" s="96"/>
      <c r="G20" s="96"/>
      <c r="H20" s="96"/>
      <c r="I20" s="96"/>
      <c r="J20" s="96"/>
      <c r="K20" s="96"/>
      <c r="L20" s="96"/>
      <c r="M20" s="96"/>
      <c r="N20" s="96"/>
      <c r="O20" s="96"/>
      <c r="P20" s="96"/>
      <c r="Q20" s="96"/>
      <c r="R20" s="96"/>
      <c r="S20" s="96"/>
      <c r="T20" s="96"/>
      <c r="U20" s="96"/>
      <c r="V20" s="96"/>
      <c r="W20" s="96"/>
      <c r="X20" s="96"/>
      <c r="Y20" s="96"/>
      <c r="Z20" s="96"/>
    </row>
    <row r="21" ht="15.0" customHeight="1">
      <c r="A21" s="84"/>
      <c r="B21" s="97"/>
      <c r="C21" s="98" t="s">
        <v>40</v>
      </c>
      <c r="D21" s="104" t="s">
        <v>41</v>
      </c>
      <c r="E21" s="96"/>
      <c r="F21" s="96"/>
      <c r="G21" s="96"/>
      <c r="H21" s="96"/>
      <c r="I21" s="96"/>
      <c r="J21" s="96"/>
      <c r="K21" s="96"/>
      <c r="L21" s="96"/>
      <c r="M21" s="96"/>
      <c r="N21" s="96"/>
      <c r="O21" s="96"/>
      <c r="P21" s="96"/>
      <c r="Q21" s="96"/>
      <c r="R21" s="96"/>
      <c r="S21" s="96"/>
      <c r="T21" s="96"/>
      <c r="U21" s="96"/>
      <c r="V21" s="96"/>
      <c r="W21" s="96"/>
      <c r="X21" s="96"/>
      <c r="Y21" s="96"/>
      <c r="Z21" s="96"/>
    </row>
    <row r="22" ht="15.0" customHeight="1">
      <c r="A22" s="84"/>
      <c r="B22" s="99"/>
      <c r="C22" s="100" t="s">
        <v>42</v>
      </c>
      <c r="D22" s="90" t="s">
        <v>43</v>
      </c>
      <c r="E22" s="96"/>
      <c r="F22" s="96"/>
      <c r="G22" s="96"/>
      <c r="H22" s="96"/>
      <c r="I22" s="96"/>
      <c r="J22" s="96"/>
      <c r="K22" s="96"/>
      <c r="L22" s="96"/>
      <c r="M22" s="96"/>
      <c r="N22" s="96"/>
      <c r="O22" s="96"/>
      <c r="P22" s="96"/>
      <c r="Q22" s="96"/>
      <c r="R22" s="96"/>
      <c r="S22" s="96"/>
      <c r="T22" s="96"/>
      <c r="U22" s="96"/>
      <c r="V22" s="96"/>
      <c r="W22" s="96"/>
      <c r="X22" s="96"/>
      <c r="Y22" s="96"/>
      <c r="Z22" s="96"/>
    </row>
    <row r="23" ht="15.0" customHeight="1">
      <c r="A23" s="84"/>
      <c r="B23" s="99"/>
      <c r="C23" s="100" t="s">
        <v>44</v>
      </c>
      <c r="D23" s="90" t="s">
        <v>45</v>
      </c>
      <c r="E23" s="96"/>
      <c r="F23" s="96"/>
      <c r="G23" s="96"/>
      <c r="H23" s="96"/>
      <c r="I23" s="96"/>
      <c r="J23" s="96"/>
      <c r="K23" s="96"/>
      <c r="L23" s="96"/>
      <c r="M23" s="96"/>
      <c r="N23" s="96"/>
      <c r="O23" s="96"/>
      <c r="P23" s="96"/>
      <c r="Q23" s="96"/>
      <c r="R23" s="96"/>
      <c r="S23" s="96"/>
      <c r="T23" s="96"/>
      <c r="U23" s="96"/>
      <c r="V23" s="96"/>
      <c r="W23" s="96"/>
      <c r="X23" s="96"/>
      <c r="Y23" s="96"/>
      <c r="Z23" s="96"/>
    </row>
    <row r="24" ht="15.0" customHeight="1">
      <c r="A24" s="84"/>
      <c r="B24" s="105"/>
      <c r="C24" s="100" t="s">
        <v>46</v>
      </c>
      <c r="D24" s="90" t="s">
        <v>47</v>
      </c>
      <c r="E24" s="96"/>
      <c r="F24" s="96"/>
      <c r="G24" s="96"/>
      <c r="H24" s="96"/>
      <c r="I24" s="96"/>
      <c r="J24" s="96"/>
      <c r="K24" s="96"/>
      <c r="L24" s="96"/>
      <c r="M24" s="96"/>
      <c r="N24" s="96"/>
      <c r="O24" s="96"/>
      <c r="P24" s="96"/>
      <c r="Q24" s="96"/>
      <c r="R24" s="96"/>
      <c r="S24" s="96"/>
      <c r="T24" s="96"/>
      <c r="U24" s="96"/>
      <c r="V24" s="96"/>
      <c r="W24" s="96"/>
      <c r="X24" s="96"/>
      <c r="Y24" s="96"/>
      <c r="Z24" s="96"/>
    </row>
    <row r="25" ht="15.0" customHeight="1">
      <c r="A25" s="84"/>
      <c r="B25" s="106" t="s">
        <v>48</v>
      </c>
      <c r="C25" s="94"/>
      <c r="D25" s="95"/>
      <c r="E25" s="96"/>
      <c r="F25" s="96"/>
      <c r="G25" s="96"/>
      <c r="H25" s="96"/>
      <c r="I25" s="96"/>
      <c r="J25" s="96"/>
      <c r="K25" s="96"/>
      <c r="L25" s="96"/>
      <c r="M25" s="96"/>
      <c r="N25" s="96"/>
      <c r="O25" s="96"/>
      <c r="P25" s="96"/>
      <c r="Q25" s="96"/>
      <c r="R25" s="96"/>
      <c r="S25" s="96"/>
      <c r="T25" s="96"/>
      <c r="U25" s="96"/>
      <c r="V25" s="96"/>
      <c r="W25" s="96"/>
      <c r="X25" s="96"/>
      <c r="Y25" s="96"/>
      <c r="Z25" s="96"/>
    </row>
    <row r="26" ht="15.0" customHeight="1">
      <c r="A26" s="84"/>
      <c r="B26" s="107"/>
      <c r="C26" s="89" t="s">
        <v>49</v>
      </c>
      <c r="D26" s="90" t="s">
        <v>50</v>
      </c>
      <c r="E26" s="96"/>
      <c r="F26" s="96"/>
      <c r="G26" s="96"/>
      <c r="H26" s="96"/>
      <c r="I26" s="96"/>
      <c r="J26" s="96"/>
      <c r="K26" s="96"/>
      <c r="L26" s="96"/>
      <c r="M26" s="96"/>
      <c r="N26" s="96"/>
      <c r="O26" s="96"/>
      <c r="P26" s="96"/>
      <c r="Q26" s="96"/>
      <c r="R26" s="96"/>
      <c r="S26" s="96"/>
      <c r="T26" s="96"/>
      <c r="U26" s="96"/>
      <c r="V26" s="96"/>
      <c r="W26" s="96"/>
      <c r="X26" s="96"/>
      <c r="Y26" s="96"/>
      <c r="Z26" s="96"/>
    </row>
    <row r="27" ht="15.0" customHeight="1">
      <c r="A27" s="84"/>
      <c r="B27" s="108"/>
      <c r="C27" s="89" t="s">
        <v>51</v>
      </c>
      <c r="D27" s="90" t="s">
        <v>52</v>
      </c>
      <c r="E27" s="96"/>
      <c r="F27" s="96"/>
      <c r="G27" s="96"/>
      <c r="H27" s="96"/>
      <c r="I27" s="96"/>
      <c r="J27" s="96"/>
      <c r="K27" s="96"/>
      <c r="L27" s="96"/>
      <c r="M27" s="96"/>
      <c r="N27" s="96"/>
      <c r="O27" s="96"/>
      <c r="P27" s="96"/>
      <c r="Q27" s="96"/>
      <c r="R27" s="96"/>
      <c r="S27" s="96"/>
      <c r="T27" s="96"/>
      <c r="U27" s="96"/>
      <c r="V27" s="96"/>
      <c r="W27" s="96"/>
      <c r="X27" s="96"/>
      <c r="Y27" s="96"/>
      <c r="Z27" s="96"/>
    </row>
    <row r="28" ht="15.0" customHeight="1">
      <c r="A28" s="109"/>
      <c r="B28" s="108"/>
      <c r="C28" s="91" t="s">
        <v>53</v>
      </c>
      <c r="D28" s="92" t="s">
        <v>54</v>
      </c>
      <c r="E28" s="96"/>
      <c r="F28" s="96"/>
      <c r="G28" s="96"/>
      <c r="H28" s="96"/>
      <c r="I28" s="96"/>
      <c r="J28" s="96"/>
      <c r="K28" s="96"/>
      <c r="L28" s="96"/>
      <c r="M28" s="96"/>
      <c r="N28" s="96"/>
      <c r="O28" s="96"/>
      <c r="P28" s="96"/>
      <c r="Q28" s="96"/>
      <c r="R28" s="96"/>
      <c r="S28" s="96"/>
      <c r="T28" s="96"/>
      <c r="U28" s="96"/>
      <c r="V28" s="96"/>
      <c r="W28" s="96"/>
      <c r="X28" s="96"/>
      <c r="Y28" s="96"/>
      <c r="Z28" s="96"/>
    </row>
    <row r="29" ht="15.0" customHeight="1">
      <c r="A29" s="110" t="s">
        <v>55</v>
      </c>
      <c r="B29" s="111" t="s">
        <v>56</v>
      </c>
      <c r="C29" s="112"/>
      <c r="D29" s="113"/>
      <c r="E29" s="96"/>
      <c r="F29" s="96"/>
      <c r="G29" s="96"/>
      <c r="H29" s="96"/>
      <c r="I29" s="96"/>
      <c r="J29" s="96"/>
      <c r="K29" s="96"/>
      <c r="L29" s="96"/>
      <c r="M29" s="96"/>
      <c r="N29" s="96"/>
      <c r="O29" s="96"/>
      <c r="P29" s="96"/>
      <c r="Q29" s="96"/>
      <c r="R29" s="96"/>
      <c r="S29" s="96"/>
      <c r="T29" s="96"/>
      <c r="U29" s="96"/>
      <c r="V29" s="96"/>
      <c r="W29" s="96"/>
      <c r="X29" s="96"/>
      <c r="Y29" s="96"/>
      <c r="Z29" s="96"/>
    </row>
    <row r="30" ht="14.25" customHeight="1">
      <c r="A30" s="84"/>
      <c r="B30" s="114"/>
      <c r="C30" s="115" t="s">
        <v>57</v>
      </c>
      <c r="D30" s="116" t="s">
        <v>58</v>
      </c>
      <c r="E30" s="96"/>
      <c r="F30" s="96"/>
      <c r="G30" s="96"/>
      <c r="H30" s="96"/>
      <c r="I30" s="96"/>
      <c r="J30" s="96"/>
      <c r="K30" s="96"/>
      <c r="L30" s="96"/>
      <c r="M30" s="96"/>
      <c r="N30" s="96"/>
      <c r="O30" s="96"/>
      <c r="P30" s="96"/>
      <c r="Q30" s="96"/>
      <c r="R30" s="96"/>
      <c r="S30" s="96"/>
      <c r="T30" s="96"/>
      <c r="U30" s="96"/>
      <c r="V30" s="96"/>
      <c r="W30" s="96"/>
      <c r="X30" s="96"/>
      <c r="Y30" s="96"/>
      <c r="Z30" s="96"/>
    </row>
    <row r="31" ht="14.25" customHeight="1">
      <c r="A31" s="84"/>
      <c r="B31" s="99"/>
      <c r="C31" s="89" t="s">
        <v>59</v>
      </c>
      <c r="D31" s="117" t="s">
        <v>60</v>
      </c>
      <c r="E31" s="96"/>
      <c r="F31" s="96"/>
      <c r="G31" s="96"/>
      <c r="H31" s="96"/>
      <c r="I31" s="96"/>
      <c r="J31" s="96"/>
      <c r="K31" s="96"/>
      <c r="L31" s="96"/>
      <c r="M31" s="96"/>
      <c r="N31" s="96"/>
      <c r="O31" s="96"/>
      <c r="P31" s="96"/>
      <c r="Q31" s="96"/>
      <c r="R31" s="96"/>
      <c r="S31" s="96"/>
      <c r="T31" s="96"/>
      <c r="U31" s="96"/>
      <c r="V31" s="96"/>
      <c r="W31" s="96"/>
      <c r="X31" s="96"/>
      <c r="Y31" s="96"/>
      <c r="Z31" s="96"/>
    </row>
    <row r="32" ht="15.0" customHeight="1">
      <c r="A32" s="84"/>
      <c r="B32" s="105"/>
      <c r="C32" s="89" t="s">
        <v>61</v>
      </c>
      <c r="D32" s="118" t="s">
        <v>62</v>
      </c>
      <c r="E32" s="96"/>
      <c r="F32" s="96"/>
      <c r="G32" s="96"/>
      <c r="H32" s="96"/>
      <c r="I32" s="96"/>
      <c r="J32" s="96"/>
      <c r="K32" s="96"/>
      <c r="L32" s="96"/>
      <c r="M32" s="96"/>
      <c r="N32" s="96"/>
      <c r="O32" s="96"/>
      <c r="P32" s="96"/>
      <c r="Q32" s="96"/>
      <c r="R32" s="96"/>
      <c r="S32" s="96"/>
      <c r="T32" s="96"/>
      <c r="U32" s="96"/>
      <c r="V32" s="96"/>
      <c r="W32" s="96"/>
      <c r="X32" s="96"/>
      <c r="Y32" s="96"/>
      <c r="Z32" s="96"/>
    </row>
    <row r="33" ht="15.0" customHeight="1">
      <c r="A33" s="84"/>
      <c r="B33" s="111" t="s">
        <v>63</v>
      </c>
      <c r="C33" s="112"/>
      <c r="D33" s="113"/>
      <c r="E33" s="96"/>
      <c r="F33" s="96"/>
      <c r="G33" s="96"/>
      <c r="H33" s="96"/>
      <c r="I33" s="96"/>
      <c r="J33" s="96"/>
      <c r="K33" s="96"/>
      <c r="L33" s="96"/>
      <c r="M33" s="96"/>
      <c r="N33" s="96"/>
      <c r="O33" s="96"/>
      <c r="P33" s="96"/>
      <c r="Q33" s="96"/>
      <c r="R33" s="96"/>
      <c r="S33" s="96"/>
      <c r="T33" s="96"/>
      <c r="U33" s="96"/>
      <c r="V33" s="96"/>
      <c r="W33" s="96"/>
      <c r="X33" s="96"/>
      <c r="Y33" s="96"/>
      <c r="Z33" s="96"/>
    </row>
    <row r="34" ht="14.25" customHeight="1">
      <c r="A34" s="84"/>
      <c r="B34" s="114"/>
      <c r="C34" s="89" t="s">
        <v>64</v>
      </c>
      <c r="D34" s="117" t="s">
        <v>65</v>
      </c>
      <c r="E34" s="96"/>
      <c r="F34" s="96"/>
      <c r="G34" s="96"/>
      <c r="H34" s="96"/>
      <c r="I34" s="96"/>
      <c r="J34" s="96"/>
      <c r="K34" s="96"/>
      <c r="L34" s="96"/>
      <c r="M34" s="96"/>
      <c r="N34" s="96"/>
      <c r="O34" s="96"/>
      <c r="P34" s="96"/>
      <c r="Q34" s="96"/>
      <c r="R34" s="96"/>
      <c r="S34" s="96"/>
      <c r="T34" s="96"/>
      <c r="U34" s="96"/>
      <c r="V34" s="96"/>
      <c r="W34" s="96"/>
      <c r="X34" s="96"/>
      <c r="Y34" s="96"/>
      <c r="Z34" s="96"/>
    </row>
    <row r="35" ht="14.25" customHeight="1">
      <c r="A35" s="84"/>
      <c r="B35" s="99"/>
      <c r="C35" s="89" t="s">
        <v>66</v>
      </c>
      <c r="D35" s="117" t="s">
        <v>67</v>
      </c>
      <c r="E35" s="96"/>
      <c r="F35" s="96"/>
      <c r="G35" s="96"/>
      <c r="H35" s="96"/>
      <c r="I35" s="96"/>
      <c r="J35" s="96"/>
      <c r="K35" s="96"/>
      <c r="L35" s="96"/>
      <c r="M35" s="96"/>
      <c r="N35" s="96"/>
      <c r="O35" s="96"/>
      <c r="P35" s="96"/>
      <c r="Q35" s="96"/>
      <c r="R35" s="96"/>
      <c r="S35" s="96"/>
      <c r="T35" s="96"/>
      <c r="U35" s="96"/>
      <c r="V35" s="96"/>
      <c r="W35" s="96"/>
      <c r="X35" s="96"/>
      <c r="Y35" s="96"/>
      <c r="Z35" s="96"/>
    </row>
    <row r="36" ht="15.0" customHeight="1">
      <c r="A36" s="84"/>
      <c r="B36" s="105"/>
      <c r="C36" s="89" t="s">
        <v>68</v>
      </c>
      <c r="D36" s="118" t="s">
        <v>69</v>
      </c>
      <c r="E36" s="96"/>
      <c r="F36" s="96"/>
      <c r="G36" s="96"/>
      <c r="H36" s="96"/>
      <c r="I36" s="96"/>
      <c r="J36" s="96"/>
      <c r="K36" s="96"/>
      <c r="L36" s="96"/>
      <c r="M36" s="96"/>
      <c r="N36" s="96"/>
      <c r="O36" s="96"/>
      <c r="P36" s="96"/>
      <c r="Q36" s="96"/>
      <c r="R36" s="96"/>
      <c r="S36" s="96"/>
      <c r="T36" s="96"/>
      <c r="U36" s="96"/>
      <c r="V36" s="96"/>
      <c r="W36" s="96"/>
      <c r="X36" s="96"/>
      <c r="Y36" s="96"/>
      <c r="Z36" s="96"/>
    </row>
    <row r="37" ht="15.0" customHeight="1">
      <c r="A37" s="84"/>
      <c r="B37" s="111" t="s">
        <v>70</v>
      </c>
      <c r="C37" s="112"/>
      <c r="D37" s="113"/>
      <c r="E37" s="96"/>
      <c r="F37" s="96"/>
      <c r="G37" s="96"/>
      <c r="H37" s="96"/>
      <c r="I37" s="96"/>
      <c r="J37" s="96"/>
      <c r="K37" s="96"/>
      <c r="L37" s="96"/>
      <c r="M37" s="96"/>
      <c r="N37" s="96"/>
      <c r="O37" s="96"/>
      <c r="P37" s="96"/>
      <c r="Q37" s="96"/>
      <c r="R37" s="96"/>
      <c r="S37" s="96"/>
      <c r="T37" s="96"/>
      <c r="U37" s="96"/>
      <c r="V37" s="96"/>
      <c r="W37" s="96"/>
      <c r="X37" s="96"/>
      <c r="Y37" s="96"/>
      <c r="Z37" s="96"/>
    </row>
    <row r="38" ht="15.0" customHeight="1">
      <c r="A38" s="84"/>
      <c r="B38" s="119"/>
      <c r="C38" s="89" t="s">
        <v>71</v>
      </c>
      <c r="D38" s="118" t="s">
        <v>72</v>
      </c>
      <c r="E38" s="96"/>
      <c r="F38" s="96"/>
      <c r="G38" s="96"/>
      <c r="H38" s="96"/>
      <c r="I38" s="96"/>
      <c r="J38" s="96"/>
      <c r="K38" s="96"/>
      <c r="L38" s="96"/>
      <c r="M38" s="96"/>
      <c r="N38" s="96"/>
      <c r="O38" s="96"/>
      <c r="P38" s="96"/>
      <c r="Q38" s="96"/>
      <c r="R38" s="96"/>
      <c r="S38" s="96"/>
      <c r="T38" s="96"/>
      <c r="U38" s="96"/>
      <c r="V38" s="96"/>
      <c r="W38" s="96"/>
      <c r="X38" s="96"/>
      <c r="Y38" s="96"/>
      <c r="Z38" s="96"/>
    </row>
    <row r="39" ht="15.0" customHeight="1">
      <c r="A39" s="84"/>
      <c r="B39" s="99"/>
      <c r="C39" s="89" t="s">
        <v>73</v>
      </c>
      <c r="D39" s="118" t="s">
        <v>74</v>
      </c>
      <c r="E39" s="96"/>
      <c r="F39" s="96"/>
      <c r="G39" s="96"/>
      <c r="H39" s="96"/>
      <c r="I39" s="96"/>
      <c r="J39" s="96"/>
      <c r="K39" s="96"/>
      <c r="L39" s="96"/>
      <c r="M39" s="96"/>
      <c r="N39" s="96"/>
      <c r="O39" s="96"/>
      <c r="P39" s="96"/>
      <c r="Q39" s="96"/>
      <c r="R39" s="96"/>
      <c r="S39" s="96"/>
      <c r="T39" s="96"/>
      <c r="U39" s="96"/>
      <c r="V39" s="96"/>
      <c r="W39" s="96"/>
      <c r="X39" s="96"/>
      <c r="Y39" s="96"/>
      <c r="Z39" s="96"/>
    </row>
    <row r="40" ht="15.0" customHeight="1">
      <c r="A40" s="84"/>
      <c r="B40" s="105"/>
      <c r="C40" s="89" t="s">
        <v>75</v>
      </c>
      <c r="D40" s="118" t="s">
        <v>76</v>
      </c>
      <c r="E40" s="96"/>
      <c r="F40" s="96"/>
      <c r="G40" s="96"/>
      <c r="H40" s="96"/>
      <c r="I40" s="96"/>
      <c r="J40" s="96"/>
      <c r="K40" s="96"/>
      <c r="L40" s="96"/>
      <c r="M40" s="96"/>
      <c r="N40" s="96"/>
      <c r="O40" s="96"/>
      <c r="P40" s="96"/>
      <c r="Q40" s="96"/>
      <c r="R40" s="96"/>
      <c r="S40" s="96"/>
      <c r="T40" s="96"/>
      <c r="U40" s="96"/>
      <c r="V40" s="96"/>
      <c r="W40" s="96"/>
      <c r="X40" s="96"/>
      <c r="Y40" s="96"/>
      <c r="Z40" s="96"/>
    </row>
    <row r="41" ht="15.0" customHeight="1">
      <c r="A41" s="84"/>
      <c r="B41" s="111" t="s">
        <v>77</v>
      </c>
      <c r="C41" s="112"/>
      <c r="D41" s="113"/>
      <c r="E41" s="96"/>
      <c r="F41" s="96"/>
      <c r="G41" s="96"/>
      <c r="H41" s="96"/>
      <c r="I41" s="96"/>
      <c r="J41" s="96"/>
      <c r="K41" s="96"/>
      <c r="L41" s="96"/>
      <c r="M41" s="96"/>
      <c r="N41" s="96"/>
      <c r="O41" s="96"/>
      <c r="P41" s="96"/>
      <c r="Q41" s="96"/>
      <c r="R41" s="96"/>
      <c r="S41" s="96"/>
      <c r="T41" s="96"/>
      <c r="U41" s="96"/>
      <c r="V41" s="96"/>
      <c r="W41" s="96"/>
      <c r="X41" s="96"/>
      <c r="Y41" s="96"/>
      <c r="Z41" s="96"/>
    </row>
    <row r="42" ht="15.0" customHeight="1">
      <c r="A42" s="84"/>
      <c r="B42" s="114"/>
      <c r="C42" s="100" t="s">
        <v>78</v>
      </c>
      <c r="D42" s="118" t="s">
        <v>79</v>
      </c>
      <c r="E42" s="96"/>
      <c r="F42" s="96"/>
      <c r="G42" s="96"/>
      <c r="H42" s="96"/>
      <c r="I42" s="96"/>
      <c r="J42" s="96"/>
      <c r="K42" s="96"/>
      <c r="L42" s="96"/>
      <c r="M42" s="96"/>
      <c r="N42" s="96"/>
      <c r="O42" s="96"/>
      <c r="P42" s="96"/>
      <c r="Q42" s="96"/>
      <c r="R42" s="96"/>
      <c r="S42" s="96"/>
      <c r="T42" s="96"/>
      <c r="U42" s="96"/>
      <c r="V42" s="96"/>
      <c r="W42" s="96"/>
      <c r="X42" s="96"/>
      <c r="Y42" s="96"/>
      <c r="Z42" s="96"/>
    </row>
    <row r="43" ht="15.0" customHeight="1">
      <c r="A43" s="84"/>
      <c r="B43" s="99"/>
      <c r="C43" s="100" t="s">
        <v>80</v>
      </c>
      <c r="D43" s="118" t="s">
        <v>81</v>
      </c>
      <c r="E43" s="96"/>
      <c r="F43" s="96"/>
      <c r="G43" s="96"/>
      <c r="H43" s="96"/>
      <c r="I43" s="96"/>
      <c r="J43" s="96"/>
      <c r="K43" s="96"/>
      <c r="L43" s="96"/>
      <c r="M43" s="96"/>
      <c r="N43" s="96"/>
      <c r="O43" s="96"/>
      <c r="P43" s="96"/>
      <c r="Q43" s="96"/>
      <c r="R43" s="96"/>
      <c r="S43" s="96"/>
      <c r="T43" s="96"/>
      <c r="U43" s="96"/>
      <c r="V43" s="96"/>
      <c r="W43" s="96"/>
      <c r="X43" s="96"/>
      <c r="Y43" s="96"/>
      <c r="Z43" s="96"/>
    </row>
    <row r="44" ht="15.0" customHeight="1">
      <c r="A44" s="109"/>
      <c r="B44" s="105"/>
      <c r="C44" s="100" t="s">
        <v>82</v>
      </c>
      <c r="D44" s="118" t="s">
        <v>83</v>
      </c>
      <c r="E44" s="96"/>
      <c r="F44" s="96"/>
      <c r="G44" s="96"/>
      <c r="H44" s="96"/>
      <c r="I44" s="96"/>
      <c r="J44" s="96"/>
      <c r="K44" s="96"/>
      <c r="L44" s="96"/>
      <c r="M44" s="96"/>
      <c r="N44" s="96"/>
      <c r="O44" s="96"/>
      <c r="P44" s="96"/>
      <c r="Q44" s="96"/>
      <c r="R44" s="96"/>
      <c r="S44" s="96"/>
      <c r="T44" s="96"/>
      <c r="U44" s="96"/>
      <c r="V44" s="96"/>
      <c r="W44" s="96"/>
      <c r="X44" s="96"/>
      <c r="Y44" s="96"/>
      <c r="Z44" s="96"/>
    </row>
    <row r="45" ht="15.0" customHeight="1">
      <c r="A45" s="120" t="s">
        <v>84</v>
      </c>
      <c r="B45" s="121" t="s">
        <v>85</v>
      </c>
      <c r="C45" s="122"/>
      <c r="D45" s="123"/>
      <c r="E45" s="96"/>
      <c r="F45" s="96"/>
      <c r="G45" s="96"/>
      <c r="H45" s="96"/>
      <c r="I45" s="96"/>
      <c r="J45" s="96"/>
      <c r="K45" s="96"/>
      <c r="L45" s="96"/>
      <c r="M45" s="96"/>
      <c r="N45" s="96"/>
      <c r="O45" s="96"/>
      <c r="P45" s="96"/>
      <c r="Q45" s="96"/>
      <c r="R45" s="96"/>
      <c r="S45" s="96"/>
      <c r="T45" s="96"/>
      <c r="U45" s="96"/>
      <c r="V45" s="96"/>
      <c r="W45" s="96"/>
      <c r="X45" s="96"/>
      <c r="Y45" s="96"/>
      <c r="Z45" s="96"/>
    </row>
    <row r="46" ht="15.0" customHeight="1">
      <c r="A46" s="84"/>
      <c r="B46" s="114"/>
      <c r="C46" s="89" t="s">
        <v>86</v>
      </c>
      <c r="D46" s="90" t="s">
        <v>87</v>
      </c>
      <c r="E46" s="96"/>
      <c r="F46" s="96"/>
      <c r="G46" s="96"/>
      <c r="H46" s="96"/>
      <c r="I46" s="96"/>
      <c r="J46" s="96"/>
      <c r="K46" s="96"/>
      <c r="L46" s="96"/>
      <c r="M46" s="96"/>
      <c r="N46" s="96"/>
      <c r="O46" s="96"/>
      <c r="P46" s="96"/>
      <c r="Q46" s="96"/>
      <c r="R46" s="96"/>
      <c r="S46" s="96"/>
      <c r="T46" s="96"/>
      <c r="U46" s="96"/>
      <c r="V46" s="96"/>
      <c r="W46" s="96"/>
      <c r="X46" s="96"/>
      <c r="Y46" s="96"/>
      <c r="Z46" s="96"/>
    </row>
    <row r="47" ht="15.0" customHeight="1">
      <c r="A47" s="84"/>
      <c r="B47" s="99"/>
      <c r="C47" s="89" t="s">
        <v>88</v>
      </c>
      <c r="D47" s="124" t="s">
        <v>87</v>
      </c>
      <c r="E47" s="96"/>
      <c r="F47" s="96"/>
      <c r="G47" s="96"/>
      <c r="H47" s="96"/>
      <c r="I47" s="96"/>
      <c r="J47" s="96"/>
      <c r="K47" s="96"/>
      <c r="L47" s="96"/>
      <c r="M47" s="96"/>
      <c r="N47" s="96"/>
      <c r="O47" s="96"/>
      <c r="P47" s="96"/>
      <c r="Q47" s="96"/>
      <c r="R47" s="96"/>
      <c r="S47" s="96"/>
      <c r="T47" s="96"/>
      <c r="U47" s="96"/>
      <c r="V47" s="96"/>
      <c r="W47" s="96"/>
      <c r="X47" s="96"/>
      <c r="Y47" s="96"/>
      <c r="Z47" s="96"/>
    </row>
    <row r="48" ht="15.0" customHeight="1">
      <c r="A48" s="84"/>
      <c r="B48" s="99"/>
      <c r="C48" s="89" t="s">
        <v>89</v>
      </c>
      <c r="D48" s="90" t="s">
        <v>90</v>
      </c>
      <c r="E48" s="96"/>
      <c r="F48" s="96"/>
      <c r="G48" s="96"/>
      <c r="H48" s="96"/>
      <c r="I48" s="96"/>
      <c r="J48" s="96"/>
      <c r="K48" s="96"/>
      <c r="L48" s="96"/>
      <c r="M48" s="96"/>
      <c r="N48" s="96"/>
      <c r="O48" s="96"/>
      <c r="P48" s="96"/>
      <c r="Q48" s="96"/>
      <c r="R48" s="96"/>
      <c r="S48" s="96"/>
      <c r="T48" s="96"/>
      <c r="U48" s="96"/>
      <c r="V48" s="96"/>
      <c r="W48" s="96"/>
      <c r="X48" s="96"/>
      <c r="Y48" s="96"/>
      <c r="Z48" s="96"/>
    </row>
    <row r="49" ht="15.0" customHeight="1">
      <c r="A49" s="84"/>
      <c r="B49" s="99"/>
      <c r="C49" s="89" t="s">
        <v>91</v>
      </c>
      <c r="D49" s="124" t="s">
        <v>92</v>
      </c>
      <c r="E49" s="96"/>
      <c r="F49" s="96"/>
      <c r="G49" s="96"/>
      <c r="H49" s="96"/>
      <c r="I49" s="96"/>
      <c r="J49" s="96"/>
      <c r="K49" s="96"/>
      <c r="L49" s="96"/>
      <c r="M49" s="96"/>
      <c r="N49" s="96"/>
      <c r="O49" s="96"/>
      <c r="P49" s="96"/>
      <c r="Q49" s="96"/>
      <c r="R49" s="96"/>
      <c r="S49" s="96"/>
      <c r="T49" s="96"/>
      <c r="U49" s="96"/>
      <c r="V49" s="96"/>
      <c r="W49" s="96"/>
      <c r="X49" s="96"/>
      <c r="Y49" s="96"/>
      <c r="Z49" s="96"/>
    </row>
    <row r="50" ht="15.0" customHeight="1">
      <c r="A50" s="84"/>
      <c r="B50" s="99"/>
      <c r="C50" s="89" t="s">
        <v>93</v>
      </c>
      <c r="D50" s="90" t="s">
        <v>94</v>
      </c>
      <c r="E50" s="96"/>
      <c r="F50" s="96"/>
      <c r="G50" s="96"/>
      <c r="H50" s="96"/>
      <c r="I50" s="96"/>
      <c r="J50" s="96"/>
      <c r="K50" s="96"/>
      <c r="L50" s="96"/>
      <c r="M50" s="96"/>
      <c r="N50" s="96"/>
      <c r="O50" s="96"/>
      <c r="P50" s="96"/>
      <c r="Q50" s="96"/>
      <c r="R50" s="96"/>
      <c r="S50" s="96"/>
      <c r="T50" s="96"/>
      <c r="U50" s="96"/>
      <c r="V50" s="96"/>
      <c r="W50" s="96"/>
      <c r="X50" s="96"/>
      <c r="Y50" s="96"/>
      <c r="Z50" s="96"/>
    </row>
    <row r="51" ht="15.0" customHeight="1">
      <c r="A51" s="125"/>
      <c r="B51" s="126"/>
      <c r="C51" s="127" t="s">
        <v>95</v>
      </c>
      <c r="D51" s="128" t="s">
        <v>96</v>
      </c>
      <c r="E51" s="96"/>
      <c r="F51" s="96"/>
      <c r="G51" s="96"/>
      <c r="H51" s="96"/>
      <c r="I51" s="96"/>
      <c r="J51" s="96"/>
      <c r="K51" s="96"/>
      <c r="L51" s="96"/>
      <c r="M51" s="96"/>
      <c r="N51" s="96"/>
      <c r="O51" s="96"/>
      <c r="P51" s="96"/>
      <c r="Q51" s="96"/>
      <c r="R51" s="96"/>
      <c r="S51" s="96"/>
      <c r="T51" s="96"/>
      <c r="U51" s="96"/>
      <c r="V51" s="96"/>
      <c r="W51" s="96"/>
      <c r="X51" s="96"/>
      <c r="Y51" s="96"/>
      <c r="Z51" s="96"/>
    </row>
    <row r="52" ht="14.2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ht="14.2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ht="14.2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ht="14.2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ht="14.2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ht="14.2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ht="14.2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ht="14.2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ht="14.2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ht="14.25" customHeight="1">
      <c r="A61" s="129"/>
      <c r="B61" s="129"/>
      <c r="C61" s="129"/>
      <c r="D61" s="129"/>
      <c r="E61" s="130"/>
      <c r="F61" s="130"/>
      <c r="G61" s="130"/>
      <c r="H61" s="130"/>
      <c r="I61" s="130"/>
      <c r="J61" s="130"/>
      <c r="K61" s="130"/>
      <c r="L61" s="130"/>
      <c r="M61" s="130"/>
      <c r="N61" s="130"/>
      <c r="O61" s="130"/>
      <c r="P61" s="130"/>
      <c r="Q61" s="130"/>
      <c r="R61" s="130"/>
      <c r="S61" s="130"/>
      <c r="T61" s="130"/>
      <c r="U61" s="130"/>
      <c r="V61" s="130"/>
      <c r="W61" s="130"/>
      <c r="X61" s="130"/>
      <c r="Y61" s="130"/>
      <c r="Z61" s="130"/>
    </row>
    <row r="62" ht="14.25" customHeight="1">
      <c r="A62" s="129"/>
      <c r="B62" s="129"/>
      <c r="C62" s="129"/>
      <c r="D62" s="129"/>
      <c r="E62" s="130"/>
      <c r="F62" s="130"/>
      <c r="G62" s="130"/>
      <c r="H62" s="130"/>
      <c r="I62" s="130"/>
      <c r="J62" s="130"/>
      <c r="K62" s="130"/>
      <c r="L62" s="130"/>
      <c r="M62" s="130"/>
      <c r="N62" s="130"/>
      <c r="O62" s="130"/>
      <c r="P62" s="130"/>
      <c r="Q62" s="130"/>
      <c r="R62" s="130"/>
      <c r="S62" s="130"/>
      <c r="T62" s="130"/>
      <c r="U62" s="130"/>
      <c r="V62" s="130"/>
      <c r="W62" s="130"/>
      <c r="X62" s="130"/>
      <c r="Y62" s="130"/>
      <c r="Z62" s="130"/>
    </row>
    <row r="63" ht="14.25" customHeight="1">
      <c r="A63" s="129"/>
      <c r="B63" s="129"/>
      <c r="C63" s="129"/>
      <c r="D63" s="129"/>
      <c r="E63" s="130"/>
      <c r="F63" s="130"/>
      <c r="G63" s="130"/>
      <c r="H63" s="130"/>
      <c r="I63" s="130"/>
      <c r="J63" s="130"/>
      <c r="K63" s="130"/>
      <c r="L63" s="130"/>
      <c r="M63" s="130"/>
      <c r="N63" s="130"/>
      <c r="O63" s="130"/>
      <c r="P63" s="130"/>
      <c r="Q63" s="130"/>
      <c r="R63" s="130"/>
      <c r="S63" s="130"/>
      <c r="T63" s="130"/>
      <c r="U63" s="130"/>
      <c r="V63" s="130"/>
      <c r="W63" s="130"/>
      <c r="X63" s="130"/>
      <c r="Y63" s="130"/>
      <c r="Z63" s="130"/>
    </row>
    <row r="64" ht="14.25" customHeight="1">
      <c r="A64" s="129"/>
      <c r="B64" s="129"/>
      <c r="C64" s="129"/>
      <c r="D64" s="129"/>
      <c r="E64" s="130"/>
      <c r="F64" s="130"/>
      <c r="G64" s="130"/>
      <c r="H64" s="130"/>
      <c r="I64" s="130"/>
      <c r="J64" s="130"/>
      <c r="K64" s="130"/>
      <c r="L64" s="130"/>
      <c r="M64" s="130"/>
      <c r="N64" s="130"/>
      <c r="O64" s="130"/>
      <c r="P64" s="130"/>
      <c r="Q64" s="130"/>
      <c r="R64" s="130"/>
      <c r="S64" s="130"/>
      <c r="T64" s="130"/>
      <c r="U64" s="130"/>
      <c r="V64" s="130"/>
      <c r="W64" s="130"/>
      <c r="X64" s="130"/>
      <c r="Y64" s="130"/>
      <c r="Z64" s="130"/>
    </row>
    <row r="65" ht="14.25" customHeight="1">
      <c r="A65" s="129"/>
      <c r="B65" s="129"/>
      <c r="C65" s="129"/>
      <c r="D65" s="129"/>
      <c r="E65" s="130"/>
      <c r="F65" s="130"/>
      <c r="G65" s="130"/>
      <c r="H65" s="130"/>
      <c r="I65" s="130"/>
      <c r="J65" s="130"/>
      <c r="K65" s="130"/>
      <c r="L65" s="130"/>
      <c r="M65" s="130"/>
      <c r="N65" s="130"/>
      <c r="O65" s="130"/>
      <c r="P65" s="130"/>
      <c r="Q65" s="130"/>
      <c r="R65" s="130"/>
      <c r="S65" s="130"/>
      <c r="T65" s="130"/>
      <c r="U65" s="130"/>
      <c r="V65" s="130"/>
      <c r="W65" s="130"/>
      <c r="X65" s="130"/>
      <c r="Y65" s="130"/>
      <c r="Z65" s="130"/>
    </row>
    <row r="66" ht="14.25" customHeight="1">
      <c r="A66" s="129"/>
      <c r="B66" s="129"/>
      <c r="C66" s="129"/>
      <c r="D66" s="129"/>
      <c r="E66" s="130"/>
      <c r="F66" s="130"/>
      <c r="G66" s="130"/>
      <c r="H66" s="130"/>
      <c r="I66" s="130"/>
      <c r="J66" s="130"/>
      <c r="K66" s="130"/>
      <c r="L66" s="130"/>
      <c r="M66" s="130"/>
      <c r="N66" s="130"/>
      <c r="O66" s="130"/>
      <c r="P66" s="130"/>
      <c r="Q66" s="130"/>
      <c r="R66" s="130"/>
      <c r="S66" s="130"/>
      <c r="T66" s="130"/>
      <c r="U66" s="130"/>
      <c r="V66" s="130"/>
      <c r="W66" s="130"/>
      <c r="X66" s="130"/>
      <c r="Y66" s="130"/>
      <c r="Z66" s="130"/>
    </row>
    <row r="67" ht="14.25" customHeight="1">
      <c r="A67" s="129"/>
      <c r="B67" s="129"/>
      <c r="C67" s="129"/>
      <c r="D67" s="129"/>
      <c r="E67" s="130"/>
      <c r="F67" s="130"/>
      <c r="G67" s="130"/>
      <c r="H67" s="130"/>
      <c r="I67" s="130"/>
      <c r="J67" s="130"/>
      <c r="K67" s="130"/>
      <c r="L67" s="130"/>
      <c r="M67" s="130"/>
      <c r="N67" s="130"/>
      <c r="O67" s="130"/>
      <c r="P67" s="130"/>
      <c r="Q67" s="130"/>
      <c r="R67" s="130"/>
      <c r="S67" s="130"/>
      <c r="T67" s="130"/>
      <c r="U67" s="130"/>
      <c r="V67" s="130"/>
      <c r="W67" s="130"/>
      <c r="X67" s="130"/>
      <c r="Y67" s="130"/>
      <c r="Z67" s="130"/>
    </row>
    <row r="68" ht="14.25" customHeight="1">
      <c r="A68" s="129"/>
      <c r="B68" s="129"/>
      <c r="C68" s="129"/>
      <c r="D68" s="129"/>
      <c r="E68" s="130"/>
      <c r="F68" s="130"/>
      <c r="G68" s="130"/>
      <c r="H68" s="130"/>
      <c r="I68" s="130"/>
      <c r="J68" s="130"/>
      <c r="K68" s="130"/>
      <c r="L68" s="130"/>
      <c r="M68" s="130"/>
      <c r="N68" s="130"/>
      <c r="O68" s="130"/>
      <c r="P68" s="130"/>
      <c r="Q68" s="130"/>
      <c r="R68" s="130"/>
      <c r="S68" s="130"/>
      <c r="T68" s="130"/>
      <c r="U68" s="130"/>
      <c r="V68" s="130"/>
      <c r="W68" s="130"/>
      <c r="X68" s="130"/>
      <c r="Y68" s="130"/>
      <c r="Z68" s="130"/>
    </row>
    <row r="69" ht="14.25" customHeight="1">
      <c r="A69" s="129"/>
      <c r="B69" s="129"/>
      <c r="C69" s="129"/>
      <c r="D69" s="129"/>
      <c r="E69" s="130"/>
      <c r="F69" s="130"/>
      <c r="G69" s="130"/>
      <c r="H69" s="130"/>
      <c r="I69" s="130"/>
      <c r="J69" s="130"/>
      <c r="K69" s="130"/>
      <c r="L69" s="130"/>
      <c r="M69" s="130"/>
      <c r="N69" s="130"/>
      <c r="O69" s="130"/>
      <c r="P69" s="130"/>
      <c r="Q69" s="130"/>
      <c r="R69" s="130"/>
      <c r="S69" s="130"/>
      <c r="T69" s="130"/>
      <c r="U69" s="130"/>
      <c r="V69" s="130"/>
      <c r="W69" s="130"/>
      <c r="X69" s="130"/>
      <c r="Y69" s="130"/>
      <c r="Z69" s="130"/>
    </row>
    <row r="70" ht="14.25" customHeight="1">
      <c r="A70" s="129"/>
      <c r="B70" s="129"/>
      <c r="C70" s="129"/>
      <c r="D70" s="129"/>
      <c r="E70" s="130"/>
      <c r="F70" s="130"/>
      <c r="G70" s="130"/>
      <c r="H70" s="130"/>
      <c r="I70" s="130"/>
      <c r="J70" s="130"/>
      <c r="K70" s="130"/>
      <c r="L70" s="130"/>
      <c r="M70" s="130"/>
      <c r="N70" s="130"/>
      <c r="O70" s="130"/>
      <c r="P70" s="130"/>
      <c r="Q70" s="130"/>
      <c r="R70" s="130"/>
      <c r="S70" s="130"/>
      <c r="T70" s="130"/>
      <c r="U70" s="130"/>
      <c r="V70" s="130"/>
      <c r="W70" s="130"/>
      <c r="X70" s="130"/>
      <c r="Y70" s="130"/>
      <c r="Z70" s="130"/>
    </row>
    <row r="71" ht="14.25" customHeight="1">
      <c r="A71" s="129"/>
      <c r="B71" s="129"/>
      <c r="C71" s="129"/>
      <c r="D71" s="129"/>
      <c r="E71" s="130"/>
      <c r="F71" s="130"/>
      <c r="G71" s="130"/>
      <c r="H71" s="130"/>
      <c r="I71" s="130"/>
      <c r="J71" s="130"/>
      <c r="K71" s="130"/>
      <c r="L71" s="130"/>
      <c r="M71" s="130"/>
      <c r="N71" s="130"/>
      <c r="O71" s="130"/>
      <c r="P71" s="130"/>
      <c r="Q71" s="130"/>
      <c r="R71" s="130"/>
      <c r="S71" s="130"/>
      <c r="T71" s="130"/>
      <c r="U71" s="130"/>
      <c r="V71" s="130"/>
      <c r="W71" s="130"/>
      <c r="X71" s="130"/>
      <c r="Y71" s="130"/>
      <c r="Z71" s="130"/>
    </row>
    <row r="72" ht="14.25" customHeight="1">
      <c r="A72" s="129"/>
      <c r="B72" s="129"/>
      <c r="C72" s="129"/>
      <c r="D72" s="129"/>
      <c r="E72" s="130"/>
      <c r="F72" s="130"/>
      <c r="G72" s="130"/>
      <c r="H72" s="130"/>
      <c r="I72" s="130"/>
      <c r="J72" s="130"/>
      <c r="K72" s="130"/>
      <c r="L72" s="130"/>
      <c r="M72" s="130"/>
      <c r="N72" s="130"/>
      <c r="O72" s="130"/>
      <c r="P72" s="130"/>
      <c r="Q72" s="130"/>
      <c r="R72" s="130"/>
      <c r="S72" s="130"/>
      <c r="T72" s="130"/>
      <c r="U72" s="130"/>
      <c r="V72" s="130"/>
      <c r="W72" s="130"/>
      <c r="X72" s="130"/>
      <c r="Y72" s="130"/>
      <c r="Z72" s="130"/>
    </row>
    <row r="73" ht="14.25" customHeight="1">
      <c r="A73" s="129"/>
      <c r="B73" s="129"/>
      <c r="C73" s="129"/>
      <c r="D73" s="129"/>
      <c r="E73" s="130"/>
      <c r="F73" s="130"/>
      <c r="G73" s="130"/>
      <c r="H73" s="130"/>
      <c r="I73" s="130"/>
      <c r="J73" s="130"/>
      <c r="K73" s="130"/>
      <c r="L73" s="130"/>
      <c r="M73" s="130"/>
      <c r="N73" s="130"/>
      <c r="O73" s="130"/>
      <c r="P73" s="130"/>
      <c r="Q73" s="130"/>
      <c r="R73" s="130"/>
      <c r="S73" s="130"/>
      <c r="T73" s="130"/>
      <c r="U73" s="130"/>
      <c r="V73" s="130"/>
      <c r="W73" s="130"/>
      <c r="X73" s="130"/>
      <c r="Y73" s="130"/>
      <c r="Z73" s="130"/>
    </row>
    <row r="74" ht="14.25" customHeight="1">
      <c r="A74" s="129"/>
      <c r="B74" s="129"/>
      <c r="C74" s="129"/>
      <c r="D74" s="129"/>
      <c r="E74" s="130"/>
      <c r="F74" s="130"/>
      <c r="G74" s="130"/>
      <c r="H74" s="130"/>
      <c r="I74" s="130"/>
      <c r="J74" s="130"/>
      <c r="K74" s="130"/>
      <c r="L74" s="130"/>
      <c r="M74" s="130"/>
      <c r="N74" s="130"/>
      <c r="O74" s="130"/>
      <c r="P74" s="130"/>
      <c r="Q74" s="130"/>
      <c r="R74" s="130"/>
      <c r="S74" s="130"/>
      <c r="T74" s="130"/>
      <c r="U74" s="130"/>
      <c r="V74" s="130"/>
      <c r="W74" s="130"/>
      <c r="X74" s="130"/>
      <c r="Y74" s="130"/>
      <c r="Z74" s="130"/>
    </row>
    <row r="75" ht="14.25" customHeight="1">
      <c r="A75" s="129"/>
      <c r="B75" s="129"/>
      <c r="C75" s="129"/>
      <c r="D75" s="129"/>
      <c r="E75" s="130"/>
      <c r="F75" s="130"/>
      <c r="G75" s="130"/>
      <c r="H75" s="130"/>
      <c r="I75" s="130"/>
      <c r="J75" s="130"/>
      <c r="K75" s="130"/>
      <c r="L75" s="130"/>
      <c r="M75" s="130"/>
      <c r="N75" s="130"/>
      <c r="O75" s="130"/>
      <c r="P75" s="130"/>
      <c r="Q75" s="130"/>
      <c r="R75" s="130"/>
      <c r="S75" s="130"/>
      <c r="T75" s="130"/>
      <c r="U75" s="130"/>
      <c r="V75" s="130"/>
      <c r="W75" s="130"/>
      <c r="X75" s="130"/>
      <c r="Y75" s="130"/>
      <c r="Z75" s="130"/>
    </row>
    <row r="76" ht="14.25" customHeight="1">
      <c r="A76" s="129"/>
      <c r="B76" s="129"/>
      <c r="C76" s="129"/>
      <c r="D76" s="129"/>
      <c r="E76" s="130"/>
      <c r="F76" s="130"/>
      <c r="G76" s="130"/>
      <c r="H76" s="130"/>
      <c r="I76" s="130"/>
      <c r="J76" s="130"/>
      <c r="K76" s="130"/>
      <c r="L76" s="130"/>
      <c r="M76" s="130"/>
      <c r="N76" s="130"/>
      <c r="O76" s="130"/>
      <c r="P76" s="130"/>
      <c r="Q76" s="130"/>
      <c r="R76" s="130"/>
      <c r="S76" s="130"/>
      <c r="T76" s="130"/>
      <c r="U76" s="130"/>
      <c r="V76" s="130"/>
      <c r="W76" s="130"/>
      <c r="X76" s="130"/>
      <c r="Y76" s="130"/>
      <c r="Z76" s="130"/>
    </row>
    <row r="77" ht="14.25" customHeight="1">
      <c r="A77" s="129"/>
      <c r="B77" s="129"/>
      <c r="C77" s="129"/>
      <c r="D77" s="129"/>
      <c r="E77" s="130"/>
      <c r="F77" s="130"/>
      <c r="G77" s="130"/>
      <c r="H77" s="130"/>
      <c r="I77" s="130"/>
      <c r="J77" s="130"/>
      <c r="K77" s="130"/>
      <c r="L77" s="130"/>
      <c r="M77" s="130"/>
      <c r="N77" s="130"/>
      <c r="O77" s="130"/>
      <c r="P77" s="130"/>
      <c r="Q77" s="130"/>
      <c r="R77" s="130"/>
      <c r="S77" s="130"/>
      <c r="T77" s="130"/>
      <c r="U77" s="130"/>
      <c r="V77" s="130"/>
      <c r="W77" s="130"/>
      <c r="X77" s="130"/>
      <c r="Y77" s="130"/>
      <c r="Z77" s="130"/>
    </row>
    <row r="78" ht="14.25" customHeight="1">
      <c r="A78" s="129"/>
      <c r="B78" s="129"/>
      <c r="C78" s="129"/>
      <c r="D78" s="129"/>
      <c r="E78" s="130"/>
      <c r="F78" s="130"/>
      <c r="G78" s="130"/>
      <c r="H78" s="130"/>
      <c r="I78" s="130"/>
      <c r="J78" s="130"/>
      <c r="K78" s="130"/>
      <c r="L78" s="130"/>
      <c r="M78" s="130"/>
      <c r="N78" s="130"/>
      <c r="O78" s="130"/>
      <c r="P78" s="130"/>
      <c r="Q78" s="130"/>
      <c r="R78" s="130"/>
      <c r="S78" s="130"/>
      <c r="T78" s="130"/>
      <c r="U78" s="130"/>
      <c r="V78" s="130"/>
      <c r="W78" s="130"/>
      <c r="X78" s="130"/>
      <c r="Y78" s="130"/>
      <c r="Z78" s="130"/>
    </row>
    <row r="79" ht="14.25" customHeight="1">
      <c r="A79" s="129"/>
      <c r="B79" s="129"/>
      <c r="C79" s="129"/>
      <c r="D79" s="129"/>
      <c r="E79" s="130"/>
      <c r="F79" s="130"/>
      <c r="G79" s="130"/>
      <c r="H79" s="130"/>
      <c r="I79" s="130"/>
      <c r="J79" s="130"/>
      <c r="K79" s="130"/>
      <c r="L79" s="130"/>
      <c r="M79" s="130"/>
      <c r="N79" s="130"/>
      <c r="O79" s="130"/>
      <c r="P79" s="130"/>
      <c r="Q79" s="130"/>
      <c r="R79" s="130"/>
      <c r="S79" s="130"/>
      <c r="T79" s="130"/>
      <c r="U79" s="130"/>
      <c r="V79" s="130"/>
      <c r="W79" s="130"/>
      <c r="X79" s="130"/>
      <c r="Y79" s="130"/>
      <c r="Z79" s="130"/>
    </row>
    <row r="80" ht="14.25" customHeight="1">
      <c r="A80" s="129"/>
      <c r="B80" s="129"/>
      <c r="C80" s="129"/>
      <c r="D80" s="129"/>
      <c r="E80" s="130"/>
      <c r="F80" s="130"/>
      <c r="G80" s="130"/>
      <c r="H80" s="130"/>
      <c r="I80" s="130"/>
      <c r="J80" s="130"/>
      <c r="K80" s="130"/>
      <c r="L80" s="130"/>
      <c r="M80" s="130"/>
      <c r="N80" s="130"/>
      <c r="O80" s="130"/>
      <c r="P80" s="130"/>
      <c r="Q80" s="130"/>
      <c r="R80" s="130"/>
      <c r="S80" s="130"/>
      <c r="T80" s="130"/>
      <c r="U80" s="130"/>
      <c r="V80" s="130"/>
      <c r="W80" s="130"/>
      <c r="X80" s="130"/>
      <c r="Y80" s="130"/>
      <c r="Z80" s="130"/>
    </row>
    <row r="81" ht="14.25" customHeight="1">
      <c r="A81" s="129"/>
      <c r="B81" s="129"/>
      <c r="C81" s="129"/>
      <c r="D81" s="129"/>
      <c r="E81" s="130"/>
      <c r="F81" s="130"/>
      <c r="G81" s="130"/>
      <c r="H81" s="130"/>
      <c r="I81" s="130"/>
      <c r="J81" s="130"/>
      <c r="K81" s="130"/>
      <c r="L81" s="130"/>
      <c r="M81" s="130"/>
      <c r="N81" s="130"/>
      <c r="O81" s="130"/>
      <c r="P81" s="130"/>
      <c r="Q81" s="130"/>
      <c r="R81" s="130"/>
      <c r="S81" s="130"/>
      <c r="T81" s="130"/>
      <c r="U81" s="130"/>
      <c r="V81" s="130"/>
      <c r="W81" s="130"/>
      <c r="X81" s="130"/>
      <c r="Y81" s="130"/>
      <c r="Z81" s="130"/>
    </row>
    <row r="82" ht="14.25" customHeight="1">
      <c r="A82" s="129"/>
      <c r="B82" s="129"/>
      <c r="C82" s="129"/>
      <c r="D82" s="129"/>
      <c r="E82" s="130"/>
      <c r="F82" s="130"/>
      <c r="G82" s="130"/>
      <c r="H82" s="130"/>
      <c r="I82" s="130"/>
      <c r="J82" s="130"/>
      <c r="K82" s="130"/>
      <c r="L82" s="130"/>
      <c r="M82" s="130"/>
      <c r="N82" s="130"/>
      <c r="O82" s="130"/>
      <c r="P82" s="130"/>
      <c r="Q82" s="130"/>
      <c r="R82" s="130"/>
      <c r="S82" s="130"/>
      <c r="T82" s="130"/>
      <c r="U82" s="130"/>
      <c r="V82" s="130"/>
      <c r="W82" s="130"/>
      <c r="X82" s="130"/>
      <c r="Y82" s="130"/>
      <c r="Z82" s="130"/>
    </row>
    <row r="83" ht="14.25" customHeight="1">
      <c r="A83" s="129"/>
      <c r="B83" s="129"/>
      <c r="C83" s="129"/>
      <c r="D83" s="129"/>
      <c r="E83" s="130"/>
      <c r="F83" s="130"/>
      <c r="G83" s="130"/>
      <c r="H83" s="130"/>
      <c r="I83" s="130"/>
      <c r="J83" s="130"/>
      <c r="K83" s="130"/>
      <c r="L83" s="130"/>
      <c r="M83" s="130"/>
      <c r="N83" s="130"/>
      <c r="O83" s="130"/>
      <c r="P83" s="130"/>
      <c r="Q83" s="130"/>
      <c r="R83" s="130"/>
      <c r="S83" s="130"/>
      <c r="T83" s="130"/>
      <c r="U83" s="130"/>
      <c r="V83" s="130"/>
      <c r="W83" s="130"/>
      <c r="X83" s="130"/>
      <c r="Y83" s="130"/>
      <c r="Z83" s="130"/>
    </row>
    <row r="84" ht="14.25" customHeight="1">
      <c r="A84" s="129"/>
      <c r="B84" s="129"/>
      <c r="C84" s="129"/>
      <c r="D84" s="129"/>
      <c r="E84" s="130"/>
      <c r="F84" s="130"/>
      <c r="G84" s="130"/>
      <c r="H84" s="130"/>
      <c r="I84" s="130"/>
      <c r="J84" s="130"/>
      <c r="K84" s="130"/>
      <c r="L84" s="130"/>
      <c r="M84" s="130"/>
      <c r="N84" s="130"/>
      <c r="O84" s="130"/>
      <c r="P84" s="130"/>
      <c r="Q84" s="130"/>
      <c r="R84" s="130"/>
      <c r="S84" s="130"/>
      <c r="T84" s="130"/>
      <c r="U84" s="130"/>
      <c r="V84" s="130"/>
      <c r="W84" s="130"/>
      <c r="X84" s="130"/>
      <c r="Y84" s="130"/>
      <c r="Z84" s="130"/>
    </row>
    <row r="85" ht="14.25" customHeight="1">
      <c r="A85" s="129"/>
      <c r="B85" s="129"/>
      <c r="C85" s="129"/>
      <c r="D85" s="129"/>
      <c r="E85" s="130"/>
      <c r="F85" s="130"/>
      <c r="G85" s="130"/>
      <c r="H85" s="130"/>
      <c r="I85" s="130"/>
      <c r="J85" s="130"/>
      <c r="K85" s="130"/>
      <c r="L85" s="130"/>
      <c r="M85" s="130"/>
      <c r="N85" s="130"/>
      <c r="O85" s="130"/>
      <c r="P85" s="130"/>
      <c r="Q85" s="130"/>
      <c r="R85" s="130"/>
      <c r="S85" s="130"/>
      <c r="T85" s="130"/>
      <c r="U85" s="130"/>
      <c r="V85" s="130"/>
      <c r="W85" s="130"/>
      <c r="X85" s="130"/>
      <c r="Y85" s="130"/>
      <c r="Z85" s="130"/>
    </row>
    <row r="86" ht="14.25" customHeight="1">
      <c r="A86" s="129"/>
      <c r="B86" s="129"/>
      <c r="C86" s="129"/>
      <c r="D86" s="129"/>
      <c r="E86" s="130"/>
      <c r="F86" s="130"/>
      <c r="G86" s="130"/>
      <c r="H86" s="130"/>
      <c r="I86" s="130"/>
      <c r="J86" s="130"/>
      <c r="K86" s="130"/>
      <c r="L86" s="130"/>
      <c r="M86" s="130"/>
      <c r="N86" s="130"/>
      <c r="O86" s="130"/>
      <c r="P86" s="130"/>
      <c r="Q86" s="130"/>
      <c r="R86" s="130"/>
      <c r="S86" s="130"/>
      <c r="T86" s="130"/>
      <c r="U86" s="130"/>
      <c r="V86" s="130"/>
      <c r="W86" s="130"/>
      <c r="X86" s="130"/>
      <c r="Y86" s="130"/>
      <c r="Z86" s="130"/>
    </row>
    <row r="87" ht="14.25" customHeight="1">
      <c r="A87" s="129"/>
      <c r="B87" s="129"/>
      <c r="C87" s="129"/>
      <c r="D87" s="129"/>
      <c r="E87" s="130"/>
      <c r="F87" s="130"/>
      <c r="G87" s="130"/>
      <c r="H87" s="130"/>
      <c r="I87" s="130"/>
      <c r="J87" s="130"/>
      <c r="K87" s="130"/>
      <c r="L87" s="130"/>
      <c r="M87" s="130"/>
      <c r="N87" s="130"/>
      <c r="O87" s="130"/>
      <c r="P87" s="130"/>
      <c r="Q87" s="130"/>
      <c r="R87" s="130"/>
      <c r="S87" s="130"/>
      <c r="T87" s="130"/>
      <c r="U87" s="130"/>
      <c r="V87" s="130"/>
      <c r="W87" s="130"/>
      <c r="X87" s="130"/>
      <c r="Y87" s="130"/>
      <c r="Z87" s="130"/>
    </row>
    <row r="88" ht="14.25" customHeight="1">
      <c r="A88" s="129"/>
      <c r="B88" s="129"/>
      <c r="C88" s="129"/>
      <c r="D88" s="129"/>
      <c r="E88" s="130"/>
      <c r="F88" s="130"/>
      <c r="G88" s="130"/>
      <c r="H88" s="130"/>
      <c r="I88" s="130"/>
      <c r="J88" s="130"/>
      <c r="K88" s="130"/>
      <c r="L88" s="130"/>
      <c r="M88" s="130"/>
      <c r="N88" s="130"/>
      <c r="O88" s="130"/>
      <c r="P88" s="130"/>
      <c r="Q88" s="130"/>
      <c r="R88" s="130"/>
      <c r="S88" s="130"/>
      <c r="T88" s="130"/>
      <c r="U88" s="130"/>
      <c r="V88" s="130"/>
      <c r="W88" s="130"/>
      <c r="X88" s="130"/>
      <c r="Y88" s="130"/>
      <c r="Z88" s="130"/>
    </row>
    <row r="89" ht="14.25" customHeight="1">
      <c r="A89" s="129"/>
      <c r="B89" s="129"/>
      <c r="C89" s="129"/>
      <c r="D89" s="129"/>
      <c r="E89" s="130"/>
      <c r="F89" s="130"/>
      <c r="G89" s="130"/>
      <c r="H89" s="130"/>
      <c r="I89" s="130"/>
      <c r="J89" s="130"/>
      <c r="K89" s="130"/>
      <c r="L89" s="130"/>
      <c r="M89" s="130"/>
      <c r="N89" s="130"/>
      <c r="O89" s="130"/>
      <c r="P89" s="130"/>
      <c r="Q89" s="130"/>
      <c r="R89" s="130"/>
      <c r="S89" s="130"/>
      <c r="T89" s="130"/>
      <c r="U89" s="130"/>
      <c r="V89" s="130"/>
      <c r="W89" s="130"/>
      <c r="X89" s="130"/>
      <c r="Y89" s="130"/>
      <c r="Z89" s="130"/>
    </row>
    <row r="90" ht="14.25" customHeight="1">
      <c r="A90" s="129"/>
      <c r="B90" s="129"/>
      <c r="C90" s="129"/>
      <c r="D90" s="129"/>
      <c r="E90" s="130"/>
      <c r="F90" s="130"/>
      <c r="G90" s="130"/>
      <c r="H90" s="130"/>
      <c r="I90" s="130"/>
      <c r="J90" s="130"/>
      <c r="K90" s="130"/>
      <c r="L90" s="130"/>
      <c r="M90" s="130"/>
      <c r="N90" s="130"/>
      <c r="O90" s="130"/>
      <c r="P90" s="130"/>
      <c r="Q90" s="130"/>
      <c r="R90" s="130"/>
      <c r="S90" s="130"/>
      <c r="T90" s="130"/>
      <c r="U90" s="130"/>
      <c r="V90" s="130"/>
      <c r="W90" s="130"/>
      <c r="X90" s="130"/>
      <c r="Y90" s="130"/>
      <c r="Z90" s="130"/>
    </row>
    <row r="91" ht="14.25" customHeight="1">
      <c r="A91" s="129"/>
      <c r="B91" s="129"/>
      <c r="C91" s="129"/>
      <c r="D91" s="129"/>
      <c r="E91" s="130"/>
      <c r="F91" s="130"/>
      <c r="G91" s="130"/>
      <c r="H91" s="130"/>
      <c r="I91" s="130"/>
      <c r="J91" s="130"/>
      <c r="K91" s="130"/>
      <c r="L91" s="130"/>
      <c r="M91" s="130"/>
      <c r="N91" s="130"/>
      <c r="O91" s="130"/>
      <c r="P91" s="130"/>
      <c r="Q91" s="130"/>
      <c r="R91" s="130"/>
      <c r="S91" s="130"/>
      <c r="T91" s="130"/>
      <c r="U91" s="130"/>
      <c r="V91" s="130"/>
      <c r="W91" s="130"/>
      <c r="X91" s="130"/>
      <c r="Y91" s="130"/>
      <c r="Z91" s="130"/>
    </row>
    <row r="92" ht="14.25" customHeight="1">
      <c r="A92" s="129"/>
      <c r="B92" s="129"/>
      <c r="C92" s="129"/>
      <c r="D92" s="129"/>
      <c r="E92" s="130"/>
      <c r="F92" s="130"/>
      <c r="G92" s="130"/>
      <c r="H92" s="130"/>
      <c r="I92" s="130"/>
      <c r="J92" s="130"/>
      <c r="K92" s="130"/>
      <c r="L92" s="130"/>
      <c r="M92" s="130"/>
      <c r="N92" s="130"/>
      <c r="O92" s="130"/>
      <c r="P92" s="130"/>
      <c r="Q92" s="130"/>
      <c r="R92" s="130"/>
      <c r="S92" s="130"/>
      <c r="T92" s="130"/>
      <c r="U92" s="130"/>
      <c r="V92" s="130"/>
      <c r="W92" s="130"/>
      <c r="X92" s="130"/>
      <c r="Y92" s="130"/>
      <c r="Z92" s="130"/>
    </row>
    <row r="93" ht="14.25" customHeight="1">
      <c r="A93" s="129"/>
      <c r="B93" s="129"/>
      <c r="C93" s="129"/>
      <c r="D93" s="129"/>
      <c r="E93" s="130"/>
      <c r="F93" s="130"/>
      <c r="G93" s="130"/>
      <c r="H93" s="130"/>
      <c r="I93" s="130"/>
      <c r="J93" s="130"/>
      <c r="K93" s="130"/>
      <c r="L93" s="130"/>
      <c r="M93" s="130"/>
      <c r="N93" s="130"/>
      <c r="O93" s="130"/>
      <c r="P93" s="130"/>
      <c r="Q93" s="130"/>
      <c r="R93" s="130"/>
      <c r="S93" s="130"/>
      <c r="T93" s="130"/>
      <c r="U93" s="130"/>
      <c r="V93" s="130"/>
      <c r="W93" s="130"/>
      <c r="X93" s="130"/>
      <c r="Y93" s="130"/>
      <c r="Z93" s="130"/>
    </row>
    <row r="94" ht="14.25" customHeight="1">
      <c r="A94" s="129"/>
      <c r="B94" s="129"/>
      <c r="C94" s="129"/>
      <c r="D94" s="129"/>
      <c r="E94" s="130"/>
      <c r="F94" s="130"/>
      <c r="G94" s="130"/>
      <c r="H94" s="130"/>
      <c r="I94" s="130"/>
      <c r="J94" s="130"/>
      <c r="K94" s="130"/>
      <c r="L94" s="130"/>
      <c r="M94" s="130"/>
      <c r="N94" s="130"/>
      <c r="O94" s="130"/>
      <c r="P94" s="130"/>
      <c r="Q94" s="130"/>
      <c r="R94" s="130"/>
      <c r="S94" s="130"/>
      <c r="T94" s="130"/>
      <c r="U94" s="130"/>
      <c r="V94" s="130"/>
      <c r="W94" s="130"/>
      <c r="X94" s="130"/>
      <c r="Y94" s="130"/>
      <c r="Z94" s="130"/>
    </row>
    <row r="95" ht="14.25" customHeight="1">
      <c r="A95" s="129"/>
      <c r="B95" s="129"/>
      <c r="C95" s="129"/>
      <c r="D95" s="129"/>
      <c r="E95" s="130"/>
      <c r="F95" s="130"/>
      <c r="G95" s="130"/>
      <c r="H95" s="130"/>
      <c r="I95" s="130"/>
      <c r="J95" s="130"/>
      <c r="K95" s="130"/>
      <c r="L95" s="130"/>
      <c r="M95" s="130"/>
      <c r="N95" s="130"/>
      <c r="O95" s="130"/>
      <c r="P95" s="130"/>
      <c r="Q95" s="130"/>
      <c r="R95" s="130"/>
      <c r="S95" s="130"/>
      <c r="T95" s="130"/>
      <c r="U95" s="130"/>
      <c r="V95" s="130"/>
      <c r="W95" s="130"/>
      <c r="X95" s="130"/>
      <c r="Y95" s="130"/>
      <c r="Z95" s="130"/>
    </row>
    <row r="96" ht="14.25" customHeight="1">
      <c r="A96" s="129"/>
      <c r="B96" s="129"/>
      <c r="C96" s="129"/>
      <c r="D96" s="129"/>
      <c r="E96" s="130"/>
      <c r="F96" s="130"/>
      <c r="G96" s="130"/>
      <c r="H96" s="130"/>
      <c r="I96" s="130"/>
      <c r="J96" s="130"/>
      <c r="K96" s="130"/>
      <c r="L96" s="130"/>
      <c r="M96" s="130"/>
      <c r="N96" s="130"/>
      <c r="O96" s="130"/>
      <c r="P96" s="130"/>
      <c r="Q96" s="130"/>
      <c r="R96" s="130"/>
      <c r="S96" s="130"/>
      <c r="T96" s="130"/>
      <c r="U96" s="130"/>
      <c r="V96" s="130"/>
      <c r="W96" s="130"/>
      <c r="X96" s="130"/>
      <c r="Y96" s="130"/>
      <c r="Z96" s="130"/>
    </row>
    <row r="97" ht="14.25" customHeight="1">
      <c r="A97" s="129"/>
      <c r="B97" s="129"/>
      <c r="C97" s="129"/>
      <c r="D97" s="129"/>
      <c r="E97" s="130"/>
      <c r="F97" s="130"/>
      <c r="G97" s="130"/>
      <c r="H97" s="130"/>
      <c r="I97" s="130"/>
      <c r="J97" s="130"/>
      <c r="K97" s="130"/>
      <c r="L97" s="130"/>
      <c r="M97" s="130"/>
      <c r="N97" s="130"/>
      <c r="O97" s="130"/>
      <c r="P97" s="130"/>
      <c r="Q97" s="130"/>
      <c r="R97" s="130"/>
      <c r="S97" s="130"/>
      <c r="T97" s="130"/>
      <c r="U97" s="130"/>
      <c r="V97" s="130"/>
      <c r="W97" s="130"/>
      <c r="X97" s="130"/>
      <c r="Y97" s="130"/>
      <c r="Z97" s="130"/>
    </row>
    <row r="98" ht="14.25" customHeight="1">
      <c r="A98" s="129"/>
      <c r="B98" s="129"/>
      <c r="C98" s="129"/>
      <c r="D98" s="129"/>
      <c r="E98" s="130"/>
      <c r="F98" s="130"/>
      <c r="G98" s="130"/>
      <c r="H98" s="130"/>
      <c r="I98" s="130"/>
      <c r="J98" s="130"/>
      <c r="K98" s="130"/>
      <c r="L98" s="130"/>
      <c r="M98" s="130"/>
      <c r="N98" s="130"/>
      <c r="O98" s="130"/>
      <c r="P98" s="130"/>
      <c r="Q98" s="130"/>
      <c r="R98" s="130"/>
      <c r="S98" s="130"/>
      <c r="T98" s="130"/>
      <c r="U98" s="130"/>
      <c r="V98" s="130"/>
      <c r="W98" s="130"/>
      <c r="X98" s="130"/>
      <c r="Y98" s="130"/>
      <c r="Z98" s="130"/>
    </row>
    <row r="99" ht="14.25" customHeight="1">
      <c r="A99" s="129"/>
      <c r="B99" s="129"/>
      <c r="C99" s="129"/>
      <c r="D99" s="129"/>
      <c r="E99" s="130"/>
      <c r="F99" s="130"/>
      <c r="G99" s="130"/>
      <c r="H99" s="130"/>
      <c r="I99" s="130"/>
      <c r="J99" s="130"/>
      <c r="K99" s="130"/>
      <c r="L99" s="130"/>
      <c r="M99" s="130"/>
      <c r="N99" s="130"/>
      <c r="O99" s="130"/>
      <c r="P99" s="130"/>
      <c r="Q99" s="130"/>
      <c r="R99" s="130"/>
      <c r="S99" s="130"/>
      <c r="T99" s="130"/>
      <c r="U99" s="130"/>
      <c r="V99" s="130"/>
      <c r="W99" s="130"/>
      <c r="X99" s="130"/>
      <c r="Y99" s="130"/>
      <c r="Z99" s="130"/>
    </row>
    <row r="100" ht="14.25" customHeight="1">
      <c r="A100" s="129"/>
      <c r="B100" s="129"/>
      <c r="C100" s="129"/>
      <c r="D100" s="129"/>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ht="14.25" customHeight="1">
      <c r="A101" s="129"/>
      <c r="B101" s="129"/>
      <c r="C101" s="129"/>
      <c r="D101" s="129"/>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ht="14.25" customHeight="1">
      <c r="A102" s="129"/>
      <c r="B102" s="129"/>
      <c r="C102" s="129"/>
      <c r="D102" s="129"/>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ht="14.25" customHeight="1">
      <c r="A103" s="129"/>
      <c r="B103" s="129"/>
      <c r="C103" s="129"/>
      <c r="D103" s="129"/>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ht="14.25" customHeight="1">
      <c r="A104" s="129"/>
      <c r="B104" s="129"/>
      <c r="C104" s="129"/>
      <c r="D104" s="129"/>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ht="14.25" customHeight="1">
      <c r="A105" s="129"/>
      <c r="B105" s="129"/>
      <c r="C105" s="129"/>
      <c r="D105" s="129"/>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ht="14.25" customHeight="1">
      <c r="A106" s="129"/>
      <c r="B106" s="129"/>
      <c r="C106" s="129"/>
      <c r="D106" s="129"/>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ht="14.25" customHeight="1">
      <c r="A107" s="129"/>
      <c r="B107" s="129"/>
      <c r="C107" s="129"/>
      <c r="D107" s="129"/>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ht="14.25" customHeight="1">
      <c r="A108" s="129"/>
      <c r="B108" s="129"/>
      <c r="C108" s="129"/>
      <c r="D108" s="129"/>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ht="14.25" customHeight="1">
      <c r="A109" s="129"/>
      <c r="B109" s="129"/>
      <c r="C109" s="129"/>
      <c r="D109" s="129"/>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ht="14.25" customHeight="1">
      <c r="A110" s="129"/>
      <c r="B110" s="129"/>
      <c r="C110" s="129"/>
      <c r="D110" s="129"/>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ht="14.25" customHeight="1">
      <c r="A111" s="129"/>
      <c r="B111" s="129"/>
      <c r="C111" s="129"/>
      <c r="D111" s="129"/>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ht="14.25" customHeight="1">
      <c r="A112" s="129"/>
      <c r="B112" s="129"/>
      <c r="C112" s="129"/>
      <c r="D112" s="129"/>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ht="14.25" customHeight="1">
      <c r="A113" s="129"/>
      <c r="B113" s="129"/>
      <c r="C113" s="129"/>
      <c r="D113" s="129"/>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ht="14.25" customHeight="1">
      <c r="A114" s="129"/>
      <c r="B114" s="129"/>
      <c r="C114" s="129"/>
      <c r="D114" s="129"/>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ht="14.25" customHeight="1">
      <c r="A115" s="129"/>
      <c r="B115" s="129"/>
      <c r="C115" s="129"/>
      <c r="D115" s="129"/>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ht="14.25" customHeight="1">
      <c r="A116" s="129"/>
      <c r="B116" s="129"/>
      <c r="C116" s="129"/>
      <c r="D116" s="129"/>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ht="14.25" customHeight="1">
      <c r="A117" s="129"/>
      <c r="B117" s="129"/>
      <c r="C117" s="129"/>
      <c r="D117" s="129"/>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ht="14.25" customHeight="1">
      <c r="A118" s="129"/>
      <c r="B118" s="129"/>
      <c r="C118" s="129"/>
      <c r="D118" s="129"/>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ht="14.25" customHeight="1">
      <c r="A119" s="129"/>
      <c r="B119" s="129"/>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ht="14.25" customHeight="1">
      <c r="A120" s="129"/>
      <c r="B120" s="129"/>
      <c r="C120" s="129"/>
      <c r="D120" s="129"/>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ht="14.25" customHeight="1">
      <c r="A121" s="129"/>
      <c r="B121" s="129"/>
      <c r="C121" s="129"/>
      <c r="D121" s="129"/>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ht="14.25" customHeight="1">
      <c r="A122" s="129"/>
      <c r="B122" s="129"/>
      <c r="C122" s="129"/>
      <c r="D122" s="129"/>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ht="14.25" customHeight="1">
      <c r="A123" s="129"/>
      <c r="B123" s="129"/>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ht="14.25" customHeight="1">
      <c r="A124" s="129"/>
      <c r="B124" s="129"/>
      <c r="C124" s="129"/>
      <c r="D124" s="129"/>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ht="14.25" customHeight="1">
      <c r="A125" s="129"/>
      <c r="B125" s="129"/>
      <c r="C125" s="129"/>
      <c r="D125" s="129"/>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ht="14.25" customHeight="1">
      <c r="A126" s="129"/>
      <c r="B126" s="129"/>
      <c r="C126" s="129"/>
      <c r="D126" s="129"/>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ht="14.25" customHeight="1">
      <c r="A127" s="129"/>
      <c r="B127" s="129"/>
      <c r="C127" s="129"/>
      <c r="D127" s="129"/>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ht="14.25" customHeight="1">
      <c r="A128" s="129"/>
      <c r="B128" s="129"/>
      <c r="C128" s="129"/>
      <c r="D128" s="129"/>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ht="14.25" customHeight="1">
      <c r="A129" s="129"/>
      <c r="B129" s="129"/>
      <c r="C129" s="129"/>
      <c r="D129" s="129"/>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ht="14.25" customHeight="1">
      <c r="A130" s="129"/>
      <c r="B130" s="129"/>
      <c r="C130" s="129"/>
      <c r="D130" s="129"/>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ht="14.25" customHeight="1">
      <c r="A131" s="129"/>
      <c r="B131" s="129"/>
      <c r="C131" s="129"/>
      <c r="D131" s="129"/>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ht="14.25" customHeight="1">
      <c r="A132" s="129"/>
      <c r="B132" s="129"/>
      <c r="C132" s="129"/>
      <c r="D132" s="129"/>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ht="14.25" customHeight="1">
      <c r="A133" s="129"/>
      <c r="B133" s="129"/>
      <c r="C133" s="129"/>
      <c r="D133" s="129"/>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ht="14.25" customHeight="1">
      <c r="A134" s="129"/>
      <c r="B134" s="129"/>
      <c r="C134" s="129"/>
      <c r="D134" s="129"/>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ht="14.25" customHeight="1">
      <c r="A135" s="129"/>
      <c r="B135" s="129"/>
      <c r="C135" s="129"/>
      <c r="D135" s="129"/>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ht="14.25" customHeight="1">
      <c r="A136" s="129"/>
      <c r="B136" s="129"/>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ht="14.25" customHeight="1">
      <c r="A137" s="129"/>
      <c r="B137" s="129"/>
      <c r="C137" s="129"/>
      <c r="D137" s="129"/>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ht="14.25" customHeight="1">
      <c r="A138" s="129"/>
      <c r="B138" s="129"/>
      <c r="C138" s="129"/>
      <c r="D138" s="129"/>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ht="14.25" customHeight="1">
      <c r="A139" s="129"/>
      <c r="B139" s="129"/>
      <c r="C139" s="129"/>
      <c r="D139" s="129"/>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ht="14.25" customHeight="1">
      <c r="A140" s="129"/>
      <c r="B140" s="129"/>
      <c r="C140" s="129"/>
      <c r="D140" s="129"/>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ht="14.25" customHeight="1">
      <c r="A141" s="129"/>
      <c r="B141" s="129"/>
      <c r="C141" s="129"/>
      <c r="D141" s="129"/>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ht="14.25" customHeight="1">
      <c r="A142" s="129"/>
      <c r="B142" s="129"/>
      <c r="C142" s="129"/>
      <c r="D142" s="129"/>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ht="14.25" customHeight="1">
      <c r="A143" s="129"/>
      <c r="B143" s="129"/>
      <c r="C143" s="129"/>
      <c r="D143" s="129"/>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ht="14.25" customHeight="1">
      <c r="A144" s="129"/>
      <c r="B144" s="129"/>
      <c r="C144" s="129"/>
      <c r="D144" s="129"/>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ht="14.25" customHeight="1">
      <c r="A145" s="129"/>
      <c r="B145" s="129"/>
      <c r="C145" s="129"/>
      <c r="D145" s="129"/>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ht="14.25" customHeight="1">
      <c r="A146" s="129"/>
      <c r="B146" s="129"/>
      <c r="C146" s="129"/>
      <c r="D146" s="129"/>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ht="14.25" customHeight="1">
      <c r="A147" s="129"/>
      <c r="B147" s="129"/>
      <c r="C147" s="129"/>
      <c r="D147" s="129"/>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ht="14.25" customHeight="1">
      <c r="A148" s="129"/>
      <c r="B148" s="129"/>
      <c r="C148" s="129"/>
      <c r="D148" s="129"/>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ht="14.25" customHeight="1">
      <c r="A149" s="129"/>
      <c r="B149" s="129"/>
      <c r="C149" s="129"/>
      <c r="D149" s="129"/>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ht="14.25" customHeight="1">
      <c r="A150" s="129"/>
      <c r="B150" s="129"/>
      <c r="C150" s="129"/>
      <c r="D150" s="129"/>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ht="14.25" customHeight="1">
      <c r="A151" s="129"/>
      <c r="B151" s="129"/>
      <c r="C151" s="129"/>
      <c r="D151" s="129"/>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ht="14.25" customHeight="1">
      <c r="A152" s="129"/>
      <c r="B152" s="129"/>
      <c r="C152" s="129"/>
      <c r="D152" s="129"/>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ht="14.25" customHeight="1">
      <c r="A153" s="129"/>
      <c r="B153" s="129"/>
      <c r="C153" s="129"/>
      <c r="D153" s="129"/>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ht="14.25" customHeight="1">
      <c r="A154" s="129"/>
      <c r="B154" s="129"/>
      <c r="C154" s="129"/>
      <c r="D154" s="129"/>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ht="14.25" customHeight="1">
      <c r="A155" s="129"/>
      <c r="B155" s="129"/>
      <c r="C155" s="129"/>
      <c r="D155" s="129"/>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ht="14.25" customHeight="1">
      <c r="A156" s="129"/>
      <c r="B156" s="129"/>
      <c r="C156" s="129"/>
      <c r="D156" s="129"/>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ht="14.25" customHeight="1">
      <c r="A157" s="129"/>
      <c r="B157" s="129"/>
      <c r="C157" s="129"/>
      <c r="D157" s="129"/>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ht="14.25" customHeight="1">
      <c r="A158" s="129"/>
      <c r="B158" s="129"/>
      <c r="C158" s="129"/>
      <c r="D158" s="129"/>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ht="14.25" customHeight="1">
      <c r="A159" s="129"/>
      <c r="B159" s="129"/>
      <c r="C159" s="129"/>
      <c r="D159" s="129"/>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ht="14.25" customHeight="1">
      <c r="A160" s="129"/>
      <c r="B160" s="129"/>
      <c r="C160" s="129"/>
      <c r="D160" s="129"/>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ht="14.25" customHeight="1">
      <c r="A161" s="129"/>
      <c r="B161" s="129"/>
      <c r="C161" s="129"/>
      <c r="D161" s="129"/>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ht="14.25" customHeight="1">
      <c r="A162" s="129"/>
      <c r="B162" s="129"/>
      <c r="C162" s="129"/>
      <c r="D162" s="129"/>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ht="14.25" customHeight="1">
      <c r="A163" s="129"/>
      <c r="B163" s="129"/>
      <c r="C163" s="129"/>
      <c r="D163" s="129"/>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ht="14.25" customHeight="1">
      <c r="A164" s="129"/>
      <c r="B164" s="129"/>
      <c r="C164" s="129"/>
      <c r="D164" s="129"/>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ht="14.25" customHeight="1">
      <c r="A165" s="129"/>
      <c r="B165" s="129"/>
      <c r="C165" s="129"/>
      <c r="D165" s="129"/>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ht="14.25" customHeight="1">
      <c r="A166" s="129"/>
      <c r="B166" s="129"/>
      <c r="C166" s="129"/>
      <c r="D166" s="129"/>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ht="14.25" customHeight="1">
      <c r="A167" s="129"/>
      <c r="B167" s="129"/>
      <c r="C167" s="129"/>
      <c r="D167" s="129"/>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ht="14.25" customHeight="1">
      <c r="A168" s="129"/>
      <c r="B168" s="129"/>
      <c r="C168" s="129"/>
      <c r="D168" s="129"/>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ht="14.25" customHeight="1">
      <c r="A169" s="129"/>
      <c r="B169" s="129"/>
      <c r="C169" s="129"/>
      <c r="D169" s="129"/>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ht="14.25" customHeight="1">
      <c r="A170" s="129"/>
      <c r="B170" s="129"/>
      <c r="C170" s="129"/>
      <c r="D170" s="129"/>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ht="14.25" customHeight="1">
      <c r="A171" s="129"/>
      <c r="B171" s="129"/>
      <c r="C171" s="129"/>
      <c r="D171" s="129"/>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ht="14.25" customHeight="1">
      <c r="A172" s="129"/>
      <c r="B172" s="129"/>
      <c r="C172" s="129"/>
      <c r="D172" s="129"/>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ht="14.25" customHeight="1">
      <c r="A173" s="129"/>
      <c r="B173" s="129"/>
      <c r="C173" s="129"/>
      <c r="D173" s="129"/>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ht="14.25" customHeight="1">
      <c r="A174" s="129"/>
      <c r="B174" s="129"/>
      <c r="C174" s="129"/>
      <c r="D174" s="129"/>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ht="14.25" customHeight="1">
      <c r="A175" s="129"/>
      <c r="B175" s="129"/>
      <c r="C175" s="129"/>
      <c r="D175" s="129"/>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ht="14.25" customHeight="1">
      <c r="A176" s="129"/>
      <c r="B176" s="129"/>
      <c r="C176" s="129"/>
      <c r="D176" s="129"/>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ht="14.25" customHeight="1">
      <c r="A177" s="129"/>
      <c r="B177" s="129"/>
      <c r="C177" s="129"/>
      <c r="D177" s="129"/>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ht="14.25" customHeight="1">
      <c r="A178" s="129"/>
      <c r="B178" s="129"/>
      <c r="C178" s="129"/>
      <c r="D178" s="129"/>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ht="14.25" customHeight="1">
      <c r="A179" s="129"/>
      <c r="B179" s="129"/>
      <c r="C179" s="129"/>
      <c r="D179" s="129"/>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ht="14.2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ht="14.2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ht="14.2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ht="14.2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ht="14.2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ht="14.2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ht="14.2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ht="14.2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ht="14.2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ht="14.2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ht="14.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ht="14.2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ht="14.2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ht="14.2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ht="14.2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ht="14.2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ht="14.2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ht="14.2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ht="14.2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ht="14.2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ht="14.2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ht="14.2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ht="14.2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ht="14.2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ht="14.2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ht="14.2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ht="14.2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ht="14.2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ht="14.2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ht="14.2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ht="14.2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ht="14.2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ht="14.2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ht="14.2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ht="14.2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ht="14.2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ht="14.2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ht="14.2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ht="14.2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ht="14.2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ht="14.2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ht="14.2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ht="14.2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ht="14.2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ht="14.2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ht="14.2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ht="14.2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ht="14.2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ht="14.2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ht="14.2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ht="14.2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ht="14.2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ht="14.2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ht="14.2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ht="14.2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ht="14.2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ht="14.2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ht="14.2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ht="14.2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ht="14.2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ht="14.2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ht="14.2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ht="14.2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ht="14.2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ht="14.2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ht="14.2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ht="14.2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ht="14.2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ht="14.2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ht="14.2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ht="14.2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ht="14.2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ht="14.2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ht="14.2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ht="14.2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ht="14.2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ht="14.2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ht="14.2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ht="14.2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ht="14.2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ht="14.2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ht="14.2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ht="14.2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ht="14.2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ht="14.2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ht="14.2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ht="14.2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ht="14.2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ht="14.2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ht="14.2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ht="14.2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ht="14.2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ht="14.2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ht="14.2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ht="14.2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ht="14.2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ht="14.2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ht="14.2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ht="14.2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ht="14.2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ht="14.2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ht="14.2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ht="14.2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ht="14.2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ht="14.2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ht="14.2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ht="14.2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ht="14.2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ht="14.2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ht="14.2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ht="14.2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ht="14.2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ht="14.2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ht="14.2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ht="14.2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ht="14.2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ht="14.2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ht="14.2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ht="14.2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ht="14.2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ht="14.2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ht="14.2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ht="14.2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ht="14.2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ht="14.2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ht="14.2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ht="14.2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ht="14.2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ht="14.2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ht="14.2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ht="14.2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ht="14.2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ht="14.2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ht="14.2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ht="14.2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ht="14.2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ht="14.2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ht="14.2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ht="14.2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ht="14.2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ht="14.2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ht="14.2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ht="14.2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ht="14.2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ht="14.2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ht="14.2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ht="14.2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ht="14.2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ht="14.2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ht="14.2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ht="14.2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ht="14.2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ht="14.2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ht="14.2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ht="14.2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ht="14.2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ht="14.2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ht="14.2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ht="14.2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ht="14.2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ht="14.2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ht="14.2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ht="14.2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ht="14.2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ht="14.2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ht="14.2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ht="14.2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ht="14.2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ht="14.2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ht="14.2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ht="14.2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ht="14.2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ht="14.2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ht="14.2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ht="14.2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ht="14.2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ht="14.2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ht="14.2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ht="14.2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ht="14.2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ht="14.2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ht="14.2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ht="14.2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ht="14.2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ht="14.2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ht="14.2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ht="14.2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ht="14.2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ht="14.2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ht="14.2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ht="14.2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ht="14.2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ht="14.2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ht="14.2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ht="14.2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ht="14.2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ht="14.2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ht="14.2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ht="14.2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ht="14.2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ht="14.2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ht="14.2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ht="14.2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ht="14.2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ht="14.2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ht="14.2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ht="14.2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ht="14.2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ht="14.2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ht="14.2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ht="14.2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ht="14.2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ht="14.2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ht="14.2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ht="14.2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ht="14.2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ht="14.2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ht="14.2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ht="14.2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ht="14.2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ht="14.2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ht="14.2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ht="14.2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ht="14.2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ht="14.2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ht="14.2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ht="14.2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ht="14.2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ht="14.2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ht="14.2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ht="14.2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ht="14.2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ht="14.2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ht="14.2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ht="14.2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ht="14.2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ht="14.2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ht="14.2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ht="14.2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ht="14.2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ht="14.2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ht="14.2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ht="14.2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ht="14.2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ht="14.2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ht="14.2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ht="14.2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ht="14.2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ht="14.2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ht="14.2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ht="14.2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ht="14.2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ht="14.2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ht="14.2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ht="14.2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ht="14.2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ht="14.2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ht="14.2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ht="14.2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ht="14.2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ht="14.2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ht="14.2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ht="14.2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ht="14.2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ht="14.2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ht="14.2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ht="14.2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ht="14.2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ht="14.2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ht="14.2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ht="14.2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ht="14.2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ht="14.2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ht="14.2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ht="14.2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ht="14.2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ht="14.2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ht="14.2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ht="14.2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ht="14.2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ht="14.2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ht="14.2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ht="14.2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ht="14.2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ht="14.2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ht="14.2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ht="14.2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ht="14.2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ht="14.2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ht="14.2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ht="14.2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ht="14.2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ht="14.2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ht="14.2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ht="14.2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ht="14.2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ht="14.2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ht="14.2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ht="14.2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ht="14.2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ht="14.2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ht="14.2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ht="14.2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ht="14.2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ht="14.2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ht="14.2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ht="14.2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ht="14.2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ht="14.2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ht="14.2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ht="14.2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ht="14.2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ht="14.2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ht="14.2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ht="14.2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ht="14.2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ht="14.2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ht="14.2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ht="14.2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ht="14.2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ht="14.2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ht="14.2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ht="14.2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ht="14.2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ht="14.2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ht="14.2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ht="14.2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ht="14.2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ht="14.2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ht="14.2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ht="14.2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ht="14.2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ht="14.2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ht="14.2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ht="14.2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ht="14.2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ht="14.2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ht="14.2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ht="14.2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ht="14.2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ht="14.2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ht="14.2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ht="14.2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ht="14.2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ht="14.2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ht="14.2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ht="14.2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ht="14.2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ht="14.2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ht="14.2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ht="14.2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ht="14.2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ht="14.2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ht="14.2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ht="14.2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ht="14.2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ht="14.2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ht="14.2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ht="14.2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ht="14.2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ht="14.2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ht="14.2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ht="14.2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ht="14.2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ht="14.2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ht="14.2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ht="14.2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ht="14.2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ht="14.2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ht="14.2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ht="14.2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ht="14.2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ht="14.2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ht="14.2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ht="14.2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ht="14.2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ht="14.2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ht="14.2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ht="14.2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ht="14.2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ht="14.2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ht="14.2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ht="14.2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ht="14.2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ht="14.2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ht="14.2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ht="14.2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ht="14.2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ht="14.2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ht="14.2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ht="14.2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ht="14.2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ht="14.2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ht="14.2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ht="14.2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ht="14.2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ht="14.2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ht="14.2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ht="14.2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ht="14.2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ht="14.2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ht="14.2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ht="14.2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ht="14.2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ht="14.2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ht="14.2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ht="14.2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ht="14.2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ht="14.2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ht="14.2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ht="14.2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ht="14.2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ht="14.2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ht="14.2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ht="14.2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ht="14.2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ht="14.2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ht="14.2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ht="14.2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ht="14.2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ht="14.2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ht="14.2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ht="14.2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ht="14.2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ht="14.2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ht="14.2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ht="14.2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ht="14.2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ht="14.2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ht="14.2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ht="14.2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ht="14.2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ht="14.2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ht="14.2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ht="14.2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ht="14.2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ht="14.2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ht="14.2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ht="14.2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ht="14.2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ht="14.2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ht="14.2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ht="14.2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ht="14.2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ht="14.2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ht="14.2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ht="14.2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ht="14.2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ht="14.2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ht="14.2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ht="14.2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ht="14.2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ht="14.2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ht="14.2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ht="14.2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ht="14.2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ht="14.2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ht="14.2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ht="14.2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ht="14.2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ht="14.2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ht="14.2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ht="14.2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ht="14.2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ht="14.2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ht="14.2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ht="14.2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ht="14.2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ht="14.2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ht="14.2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ht="14.2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ht="14.2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ht="14.2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ht="14.2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ht="14.2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ht="14.2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ht="14.2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ht="14.2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ht="14.2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ht="14.2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ht="14.2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ht="14.2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ht="14.2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ht="14.2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ht="14.2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ht="14.2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ht="14.2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ht="14.2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ht="14.2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ht="14.2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ht="14.2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ht="14.2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ht="14.2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ht="14.2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ht="14.2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ht="14.2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ht="14.2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ht="14.2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ht="14.2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ht="14.2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ht="14.2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ht="14.2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ht="14.2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ht="14.2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ht="14.2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ht="14.2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ht="14.2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ht="14.2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ht="14.2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ht="14.2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ht="14.2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ht="14.2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ht="14.2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ht="14.2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ht="14.2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ht="14.2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ht="14.2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ht="14.2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ht="14.2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ht="14.2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ht="14.2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ht="14.2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ht="14.2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ht="14.2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ht="14.2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ht="14.2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ht="14.2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ht="14.2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ht="14.2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ht="14.2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ht="14.2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ht="14.2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ht="14.2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ht="14.2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ht="14.2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ht="14.2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ht="14.2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ht="14.2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ht="14.2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ht="14.2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ht="14.2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ht="14.2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ht="14.2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ht="14.2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ht="14.2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ht="14.2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ht="14.2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ht="14.2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ht="14.2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ht="14.2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ht="14.2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ht="14.2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ht="14.2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ht="14.2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ht="14.2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ht="14.2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ht="14.2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ht="14.2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ht="14.2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ht="14.2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ht="14.2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ht="14.2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ht="14.2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ht="14.2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ht="14.2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ht="14.2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ht="14.2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ht="14.2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ht="14.2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ht="14.2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ht="14.2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ht="14.2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ht="14.2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ht="14.2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ht="14.2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ht="14.2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ht="14.2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ht="14.2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ht="14.2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ht="14.2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ht="14.2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ht="14.2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ht="14.2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ht="14.2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ht="14.2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ht="14.2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ht="14.2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ht="14.2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ht="14.2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ht="14.2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ht="14.2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ht="14.2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ht="14.2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ht="14.2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ht="14.2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ht="14.2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ht="14.2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ht="14.2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ht="14.2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ht="14.2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ht="14.2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ht="14.2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ht="14.2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ht="14.2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ht="14.2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ht="14.2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ht="14.2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ht="14.2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ht="14.2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ht="14.2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ht="14.2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ht="14.2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ht="14.2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ht="14.2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ht="14.2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ht="14.2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ht="14.2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ht="14.2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ht="14.2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ht="14.2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ht="14.2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ht="14.2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ht="14.2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ht="14.2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ht="14.2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ht="14.2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ht="14.2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ht="14.2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ht="14.2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ht="14.2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ht="14.2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ht="14.2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ht="14.2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ht="14.2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ht="14.2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ht="14.2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ht="14.2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ht="14.2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ht="14.2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ht="14.2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ht="14.2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ht="14.2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ht="14.2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ht="14.2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ht="14.2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ht="14.2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ht="14.2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ht="14.2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ht="14.2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ht="14.2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ht="14.2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ht="14.2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ht="14.2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ht="14.2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ht="14.2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ht="14.2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ht="14.2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ht="14.2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ht="14.2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ht="14.2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ht="14.2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ht="14.2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ht="14.2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ht="14.2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ht="14.2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ht="14.2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ht="14.2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ht="14.2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ht="14.2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ht="14.2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ht="14.2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ht="14.2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ht="14.2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ht="14.2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ht="14.2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ht="14.2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ht="14.2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ht="14.2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ht="14.2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ht="14.2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ht="14.2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ht="14.2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ht="14.2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ht="14.2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ht="14.2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ht="14.2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ht="14.2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ht="14.2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ht="14.2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ht="14.2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ht="14.2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ht="14.2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ht="14.2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ht="14.2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ht="14.2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ht="14.2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ht="14.2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ht="14.2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ht="14.2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ht="14.2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ht="14.2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ht="14.2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ht="14.2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ht="14.2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ht="14.2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ht="14.2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ht="14.2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ht="14.2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ht="14.2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ht="14.2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ht="14.2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ht="14.2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ht="14.2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ht="14.2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ht="14.2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ht="14.2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ht="14.2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ht="14.2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ht="14.2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ht="14.2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ht="14.2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ht="14.2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ht="14.2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ht="14.2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ht="14.2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ht="14.2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ht="14.2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ht="14.2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ht="14.2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ht="14.2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ht="14.2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ht="14.2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ht="14.2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ht="14.2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ht="14.2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ht="14.2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ht="14.2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ht="14.2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ht="14.2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ht="14.2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ht="14.2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ht="14.2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ht="14.2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ht="14.2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ht="14.2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ht="14.2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ht="14.2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ht="14.2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ht="14.2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ht="14.2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ht="14.2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ht="14.2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ht="14.2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ht="14.2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ht="14.2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ht="14.2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ht="14.2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ht="14.2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ht="14.2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ht="14.2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ht="14.2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ht="14.2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ht="14.2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ht="14.2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ht="14.2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ht="14.2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ht="14.2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ht="14.2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ht="14.2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ht="14.2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ht="14.2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ht="14.2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ht="14.2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ht="14.2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sheetData>
  <mergeCells count="16">
    <mergeCell ref="B1:D1"/>
    <mergeCell ref="B2:D2"/>
    <mergeCell ref="A3:D3"/>
    <mergeCell ref="A5:A28"/>
    <mergeCell ref="B6:B8"/>
    <mergeCell ref="B10:B16"/>
    <mergeCell ref="B18:B19"/>
    <mergeCell ref="A45:A51"/>
    <mergeCell ref="B46:B51"/>
    <mergeCell ref="B21:B24"/>
    <mergeCell ref="B26:B28"/>
    <mergeCell ref="A29:A44"/>
    <mergeCell ref="B30:B32"/>
    <mergeCell ref="B34:B36"/>
    <mergeCell ref="B38:B40"/>
    <mergeCell ref="B42:B44"/>
  </mergeCells>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55.57"/>
    <col customWidth="1" min="2" max="2" width="50.86"/>
    <col customWidth="1" min="3" max="3" width="45.43"/>
    <col customWidth="1" min="4" max="4" width="41.0"/>
    <col customWidth="1" min="5" max="5" width="43.86"/>
    <col customWidth="1" min="6" max="26" width="11.57"/>
  </cols>
  <sheetData>
    <row r="1">
      <c r="A1" s="131" t="s">
        <v>97</v>
      </c>
      <c r="B1" s="132"/>
      <c r="C1" s="132"/>
      <c r="D1" s="132"/>
      <c r="E1" s="133"/>
      <c r="F1" s="130"/>
      <c r="G1" s="130"/>
      <c r="H1" s="130"/>
      <c r="I1" s="130"/>
      <c r="J1" s="130"/>
      <c r="K1" s="130"/>
      <c r="L1" s="130"/>
      <c r="M1" s="130"/>
      <c r="N1" s="130"/>
      <c r="O1" s="130"/>
      <c r="P1" s="130"/>
      <c r="Q1" s="130"/>
      <c r="R1" s="130"/>
      <c r="S1" s="130"/>
      <c r="T1" s="130"/>
      <c r="U1" s="130"/>
      <c r="V1" s="130"/>
      <c r="W1" s="130"/>
      <c r="X1" s="130"/>
      <c r="Y1" s="130"/>
      <c r="Z1" s="130"/>
    </row>
    <row r="2" ht="34.5" customHeight="1">
      <c r="A2" s="134" t="s">
        <v>98</v>
      </c>
      <c r="B2" s="135"/>
      <c r="C2" s="135"/>
      <c r="D2" s="135"/>
      <c r="E2" s="136"/>
      <c r="F2" s="130"/>
      <c r="G2" s="130"/>
      <c r="H2" s="130"/>
      <c r="I2" s="130"/>
      <c r="J2" s="130"/>
      <c r="K2" s="130"/>
      <c r="L2" s="130"/>
      <c r="M2" s="130"/>
      <c r="N2" s="130"/>
      <c r="O2" s="130"/>
      <c r="P2" s="130"/>
      <c r="Q2" s="130"/>
      <c r="R2" s="130"/>
      <c r="S2" s="130"/>
      <c r="T2" s="130"/>
      <c r="U2" s="130"/>
      <c r="V2" s="130"/>
      <c r="W2" s="130"/>
      <c r="X2" s="130"/>
      <c r="Y2" s="130"/>
      <c r="Z2" s="130"/>
    </row>
    <row r="3" ht="14.25" customHeight="1">
      <c r="A3" s="137" t="s">
        <v>99</v>
      </c>
      <c r="B3" s="65"/>
      <c r="C3" s="65"/>
      <c r="D3" s="65"/>
      <c r="E3" s="66"/>
      <c r="F3" s="130"/>
      <c r="G3" s="130"/>
      <c r="H3" s="130"/>
      <c r="I3" s="130"/>
      <c r="J3" s="130"/>
      <c r="K3" s="130"/>
      <c r="L3" s="130"/>
      <c r="M3" s="130"/>
      <c r="N3" s="130"/>
      <c r="O3" s="130"/>
      <c r="P3" s="130"/>
      <c r="Q3" s="130"/>
      <c r="R3" s="130"/>
      <c r="S3" s="130"/>
      <c r="T3" s="130"/>
      <c r="U3" s="130"/>
      <c r="V3" s="130"/>
      <c r="W3" s="130"/>
      <c r="X3" s="130"/>
      <c r="Y3" s="130"/>
      <c r="Z3" s="130"/>
    </row>
    <row r="4" ht="14.25" customHeight="1">
      <c r="A4" s="78" t="s">
        <v>100</v>
      </c>
      <c r="B4" s="78" t="s">
        <v>101</v>
      </c>
      <c r="C4" s="78" t="s">
        <v>102</v>
      </c>
      <c r="D4" s="78" t="s">
        <v>103</v>
      </c>
      <c r="E4" s="79" t="s">
        <v>104</v>
      </c>
      <c r="F4" s="138"/>
      <c r="G4" s="138"/>
      <c r="H4" s="138"/>
      <c r="I4" s="138"/>
      <c r="J4" s="138"/>
      <c r="K4" s="138"/>
      <c r="L4" s="138"/>
      <c r="M4" s="138"/>
      <c r="N4" s="138"/>
      <c r="O4" s="138"/>
      <c r="P4" s="138"/>
      <c r="Q4" s="138"/>
      <c r="R4" s="138"/>
      <c r="S4" s="138"/>
      <c r="T4" s="138"/>
      <c r="U4" s="138"/>
      <c r="V4" s="138"/>
      <c r="W4" s="138"/>
      <c r="X4" s="138"/>
      <c r="Y4" s="138"/>
      <c r="Z4" s="138"/>
    </row>
    <row r="5" ht="14.25" customHeight="1">
      <c r="A5" s="139" t="s">
        <v>105</v>
      </c>
      <c r="B5" s="140"/>
      <c r="C5" s="140"/>
      <c r="D5" s="140"/>
      <c r="E5" s="141"/>
      <c r="F5" s="130"/>
      <c r="G5" s="130"/>
      <c r="H5" s="130"/>
      <c r="I5" s="130"/>
      <c r="J5" s="130"/>
      <c r="K5" s="130"/>
      <c r="L5" s="130"/>
      <c r="M5" s="130"/>
      <c r="N5" s="130"/>
      <c r="O5" s="130"/>
      <c r="P5" s="130"/>
      <c r="Q5" s="130"/>
      <c r="R5" s="130"/>
      <c r="S5" s="130"/>
      <c r="T5" s="130"/>
      <c r="U5" s="130"/>
      <c r="V5" s="130"/>
      <c r="W5" s="130"/>
      <c r="X5" s="130"/>
      <c r="Y5" s="130"/>
      <c r="Z5" s="130"/>
    </row>
    <row r="6" ht="14.25" customHeight="1">
      <c r="A6" s="142" t="s">
        <v>14</v>
      </c>
      <c r="B6" s="115" t="s">
        <v>106</v>
      </c>
      <c r="C6" s="89" t="s">
        <v>107</v>
      </c>
      <c r="D6" s="89" t="s">
        <v>108</v>
      </c>
      <c r="E6" s="118" t="s">
        <v>109</v>
      </c>
      <c r="F6" s="130"/>
      <c r="G6" s="130"/>
      <c r="H6" s="130"/>
      <c r="I6" s="130"/>
      <c r="J6" s="130"/>
      <c r="K6" s="130"/>
      <c r="L6" s="130"/>
      <c r="M6" s="130"/>
      <c r="N6" s="130"/>
      <c r="O6" s="130"/>
      <c r="P6" s="130"/>
      <c r="Q6" s="130"/>
      <c r="R6" s="130"/>
      <c r="S6" s="130"/>
      <c r="T6" s="130"/>
      <c r="U6" s="130"/>
      <c r="V6" s="130"/>
      <c r="W6" s="130"/>
      <c r="X6" s="130"/>
      <c r="Y6" s="130"/>
      <c r="Z6" s="130"/>
    </row>
    <row r="7" ht="14.25" customHeight="1">
      <c r="A7" s="142" t="s">
        <v>16</v>
      </c>
      <c r="B7" s="115" t="s">
        <v>110</v>
      </c>
      <c r="C7" s="89" t="s">
        <v>111</v>
      </c>
      <c r="D7" s="89" t="s">
        <v>112</v>
      </c>
      <c r="E7" s="118" t="s">
        <v>113</v>
      </c>
      <c r="F7" s="130"/>
      <c r="G7" s="130"/>
      <c r="H7" s="130"/>
      <c r="I7" s="130"/>
      <c r="J7" s="130"/>
      <c r="K7" s="130"/>
      <c r="L7" s="130"/>
      <c r="M7" s="130"/>
      <c r="N7" s="130"/>
      <c r="O7" s="130"/>
      <c r="P7" s="130"/>
      <c r="Q7" s="130"/>
      <c r="R7" s="130"/>
      <c r="S7" s="130"/>
      <c r="T7" s="130"/>
      <c r="U7" s="130"/>
      <c r="V7" s="130"/>
      <c r="W7" s="130"/>
      <c r="X7" s="130"/>
      <c r="Y7" s="130"/>
      <c r="Z7" s="130"/>
    </row>
    <row r="8" ht="14.25" customHeight="1">
      <c r="A8" s="142" t="s">
        <v>18</v>
      </c>
      <c r="B8" s="115" t="s">
        <v>114</v>
      </c>
      <c r="C8" s="89" t="s">
        <v>115</v>
      </c>
      <c r="D8" s="89" t="s">
        <v>116</v>
      </c>
      <c r="E8" s="118" t="s">
        <v>117</v>
      </c>
      <c r="F8" s="130"/>
      <c r="G8" s="130"/>
      <c r="H8" s="130"/>
      <c r="I8" s="130"/>
      <c r="J8" s="130"/>
      <c r="K8" s="130"/>
      <c r="L8" s="130"/>
      <c r="M8" s="130"/>
      <c r="N8" s="130"/>
      <c r="O8" s="130"/>
      <c r="P8" s="130"/>
      <c r="Q8" s="130"/>
      <c r="R8" s="130"/>
      <c r="S8" s="130"/>
      <c r="T8" s="130"/>
      <c r="U8" s="130"/>
      <c r="V8" s="130"/>
      <c r="W8" s="130"/>
      <c r="X8" s="130"/>
      <c r="Y8" s="130"/>
      <c r="Z8" s="130"/>
    </row>
    <row r="9" ht="14.25" customHeight="1">
      <c r="A9" s="143" t="s">
        <v>118</v>
      </c>
      <c r="B9" s="144"/>
      <c r="C9" s="144"/>
      <c r="D9" s="144"/>
      <c r="E9" s="145"/>
      <c r="F9" s="130"/>
      <c r="G9" s="130"/>
      <c r="H9" s="130"/>
      <c r="I9" s="130"/>
      <c r="J9" s="130"/>
      <c r="K9" s="130"/>
      <c r="L9" s="130"/>
      <c r="M9" s="130"/>
      <c r="N9" s="130"/>
      <c r="O9" s="130"/>
      <c r="P9" s="130"/>
      <c r="Q9" s="130"/>
      <c r="R9" s="130"/>
      <c r="S9" s="130"/>
      <c r="T9" s="130"/>
      <c r="U9" s="130"/>
      <c r="V9" s="130"/>
      <c r="W9" s="130"/>
      <c r="X9" s="130"/>
      <c r="Y9" s="130"/>
      <c r="Z9" s="130"/>
    </row>
    <row r="10" ht="14.25" customHeight="1">
      <c r="A10" s="146" t="s">
        <v>21</v>
      </c>
      <c r="B10" s="115" t="s">
        <v>119</v>
      </c>
      <c r="C10" s="89" t="s">
        <v>120</v>
      </c>
      <c r="D10" s="89" t="s">
        <v>121</v>
      </c>
      <c r="E10" s="118" t="s">
        <v>122</v>
      </c>
      <c r="F10" s="130"/>
      <c r="G10" s="130"/>
      <c r="H10" s="130"/>
      <c r="I10" s="130"/>
      <c r="J10" s="130"/>
      <c r="K10" s="130"/>
      <c r="L10" s="130"/>
      <c r="M10" s="130"/>
      <c r="N10" s="130"/>
      <c r="O10" s="130"/>
      <c r="P10" s="130"/>
      <c r="Q10" s="130"/>
      <c r="R10" s="130"/>
      <c r="S10" s="130"/>
      <c r="T10" s="130"/>
      <c r="U10" s="130"/>
      <c r="V10" s="130"/>
      <c r="W10" s="130"/>
      <c r="X10" s="130"/>
      <c r="Y10" s="130"/>
      <c r="Z10" s="130"/>
    </row>
    <row r="11" ht="14.25" customHeight="1">
      <c r="A11" s="147" t="s">
        <v>23</v>
      </c>
      <c r="B11" s="89"/>
      <c r="C11" s="89" t="s">
        <v>123</v>
      </c>
      <c r="D11" s="89" t="s">
        <v>124</v>
      </c>
      <c r="E11" s="118" t="s">
        <v>125</v>
      </c>
      <c r="F11" s="130"/>
      <c r="G11" s="130"/>
      <c r="H11" s="130"/>
      <c r="I11" s="130"/>
      <c r="J11" s="130"/>
      <c r="K11" s="130"/>
      <c r="L11" s="130"/>
      <c r="M11" s="130"/>
      <c r="N11" s="130"/>
      <c r="O11" s="130"/>
      <c r="P11" s="130"/>
      <c r="Q11" s="130"/>
      <c r="R11" s="130"/>
      <c r="S11" s="130"/>
      <c r="T11" s="130"/>
      <c r="U11" s="130"/>
      <c r="V11" s="130"/>
      <c r="W11" s="130"/>
      <c r="X11" s="130"/>
      <c r="Y11" s="130"/>
      <c r="Z11" s="130"/>
    </row>
    <row r="12" ht="14.25" customHeight="1">
      <c r="A12" s="147" t="s">
        <v>25</v>
      </c>
      <c r="B12" s="89"/>
      <c r="C12" s="89" t="s">
        <v>126</v>
      </c>
      <c r="D12" s="89" t="s">
        <v>127</v>
      </c>
      <c r="E12" s="118" t="s">
        <v>128</v>
      </c>
      <c r="F12" s="130"/>
      <c r="G12" s="130"/>
      <c r="H12" s="130"/>
      <c r="I12" s="130"/>
      <c r="J12" s="130"/>
      <c r="K12" s="130"/>
      <c r="L12" s="130"/>
      <c r="M12" s="130"/>
      <c r="N12" s="130"/>
      <c r="O12" s="130"/>
      <c r="P12" s="130"/>
      <c r="Q12" s="130"/>
      <c r="R12" s="130"/>
      <c r="S12" s="130"/>
      <c r="T12" s="130"/>
      <c r="U12" s="130"/>
      <c r="V12" s="130"/>
      <c r="W12" s="130"/>
      <c r="X12" s="130"/>
      <c r="Y12" s="130"/>
      <c r="Z12" s="130"/>
    </row>
    <row r="13" ht="14.25" customHeight="1">
      <c r="A13" s="147" t="s">
        <v>27</v>
      </c>
      <c r="B13" s="89"/>
      <c r="C13" s="148" t="s">
        <v>129</v>
      </c>
      <c r="D13" s="148" t="s">
        <v>130</v>
      </c>
      <c r="E13" s="90" t="s">
        <v>131</v>
      </c>
      <c r="F13" s="130"/>
      <c r="G13" s="130"/>
      <c r="H13" s="130"/>
      <c r="I13" s="130"/>
      <c r="J13" s="130"/>
      <c r="K13" s="130"/>
      <c r="L13" s="130"/>
      <c r="M13" s="130"/>
      <c r="N13" s="130"/>
      <c r="O13" s="130"/>
      <c r="P13" s="130"/>
      <c r="Q13" s="130"/>
      <c r="R13" s="130"/>
      <c r="S13" s="130"/>
      <c r="T13" s="130"/>
      <c r="U13" s="130"/>
      <c r="V13" s="130"/>
      <c r="W13" s="130"/>
      <c r="X13" s="130"/>
      <c r="Y13" s="130"/>
      <c r="Z13" s="130"/>
    </row>
    <row r="14" ht="14.25" customHeight="1">
      <c r="A14" s="147" t="s">
        <v>29</v>
      </c>
      <c r="B14" s="89"/>
      <c r="C14" s="148" t="s">
        <v>132</v>
      </c>
      <c r="D14" s="148" t="s">
        <v>133</v>
      </c>
      <c r="E14" s="90" t="s">
        <v>134</v>
      </c>
      <c r="F14" s="130"/>
      <c r="G14" s="130"/>
      <c r="H14" s="130"/>
      <c r="I14" s="130"/>
      <c r="J14" s="130"/>
      <c r="K14" s="130"/>
      <c r="L14" s="130"/>
      <c r="M14" s="130"/>
      <c r="N14" s="130"/>
      <c r="O14" s="130"/>
      <c r="P14" s="130"/>
      <c r="Q14" s="130"/>
      <c r="R14" s="130"/>
      <c r="S14" s="130"/>
      <c r="T14" s="130"/>
      <c r="U14" s="130"/>
      <c r="V14" s="130"/>
      <c r="W14" s="130"/>
      <c r="X14" s="130"/>
      <c r="Y14" s="130"/>
      <c r="Z14" s="130"/>
    </row>
    <row r="15" ht="14.25" customHeight="1">
      <c r="A15" s="147" t="s">
        <v>31</v>
      </c>
      <c r="B15" s="89"/>
      <c r="C15" s="148" t="s">
        <v>135</v>
      </c>
      <c r="D15" s="148" t="s">
        <v>136</v>
      </c>
      <c r="E15" s="90" t="s">
        <v>137</v>
      </c>
      <c r="F15" s="130"/>
      <c r="G15" s="130"/>
      <c r="H15" s="130"/>
      <c r="I15" s="130"/>
      <c r="J15" s="130"/>
      <c r="K15" s="130"/>
      <c r="L15" s="130"/>
      <c r="M15" s="130"/>
      <c r="N15" s="130"/>
      <c r="O15" s="130"/>
      <c r="P15" s="130"/>
      <c r="Q15" s="130"/>
      <c r="R15" s="130"/>
      <c r="S15" s="130"/>
      <c r="T15" s="130"/>
      <c r="U15" s="130"/>
      <c r="V15" s="130"/>
      <c r="W15" s="130"/>
      <c r="X15" s="130"/>
      <c r="Y15" s="130"/>
      <c r="Z15" s="130"/>
    </row>
    <row r="16" ht="14.25" customHeight="1">
      <c r="A16" s="149" t="s">
        <v>33</v>
      </c>
      <c r="B16" s="89"/>
      <c r="C16" s="148" t="s">
        <v>138</v>
      </c>
      <c r="D16" s="148" t="s">
        <v>139</v>
      </c>
      <c r="E16" s="90" t="s">
        <v>140</v>
      </c>
      <c r="F16" s="130"/>
      <c r="G16" s="130"/>
      <c r="H16" s="130"/>
      <c r="I16" s="130"/>
      <c r="J16" s="130"/>
      <c r="K16" s="130"/>
      <c r="L16" s="130"/>
      <c r="M16" s="130"/>
      <c r="N16" s="130"/>
      <c r="O16" s="130"/>
      <c r="P16" s="130"/>
      <c r="Q16" s="130"/>
      <c r="R16" s="130"/>
      <c r="S16" s="130"/>
      <c r="T16" s="130"/>
      <c r="U16" s="130"/>
      <c r="V16" s="130"/>
      <c r="W16" s="130"/>
      <c r="X16" s="130"/>
      <c r="Y16" s="130"/>
      <c r="Z16" s="130"/>
    </row>
    <row r="17" ht="14.25" customHeight="1">
      <c r="A17" s="143" t="s">
        <v>141</v>
      </c>
      <c r="B17" s="144"/>
      <c r="C17" s="144"/>
      <c r="D17" s="144"/>
      <c r="E17" s="145"/>
      <c r="F17" s="130"/>
      <c r="G17" s="130"/>
      <c r="H17" s="130"/>
      <c r="I17" s="130"/>
      <c r="J17" s="130"/>
      <c r="K17" s="130"/>
      <c r="L17" s="130"/>
      <c r="M17" s="130"/>
      <c r="N17" s="130"/>
      <c r="O17" s="130"/>
      <c r="P17" s="130"/>
      <c r="Q17" s="130"/>
      <c r="R17" s="130"/>
      <c r="S17" s="130"/>
      <c r="T17" s="130"/>
      <c r="U17" s="130"/>
      <c r="V17" s="130"/>
      <c r="W17" s="130"/>
      <c r="X17" s="130"/>
      <c r="Y17" s="130"/>
      <c r="Z17" s="130"/>
    </row>
    <row r="18" ht="14.25" customHeight="1">
      <c r="A18" s="146" t="s">
        <v>36</v>
      </c>
      <c r="B18" s="89"/>
      <c r="C18" s="89" t="s">
        <v>142</v>
      </c>
      <c r="D18" s="89" t="s">
        <v>143</v>
      </c>
      <c r="E18" s="118" t="s">
        <v>144</v>
      </c>
      <c r="F18" s="130"/>
      <c r="G18" s="130"/>
      <c r="H18" s="130"/>
      <c r="I18" s="130"/>
      <c r="J18" s="130"/>
      <c r="K18" s="130"/>
      <c r="L18" s="130"/>
      <c r="M18" s="130"/>
      <c r="N18" s="130"/>
      <c r="O18" s="130"/>
      <c r="P18" s="130"/>
      <c r="Q18" s="130"/>
      <c r="R18" s="130"/>
      <c r="S18" s="130"/>
      <c r="T18" s="130"/>
      <c r="U18" s="130"/>
      <c r="V18" s="130"/>
      <c r="W18" s="130"/>
      <c r="X18" s="130"/>
      <c r="Y18" s="130"/>
      <c r="Z18" s="130"/>
    </row>
    <row r="19" ht="14.25" customHeight="1">
      <c r="A19" s="149" t="s">
        <v>38</v>
      </c>
      <c r="B19" s="89"/>
      <c r="C19" s="89" t="s">
        <v>145</v>
      </c>
      <c r="D19" s="89" t="s">
        <v>146</v>
      </c>
      <c r="E19" s="118" t="s">
        <v>147</v>
      </c>
      <c r="F19" s="130"/>
      <c r="G19" s="130"/>
      <c r="H19" s="130"/>
      <c r="I19" s="130"/>
      <c r="J19" s="130"/>
      <c r="K19" s="130"/>
      <c r="L19" s="130"/>
      <c r="M19" s="130"/>
      <c r="N19" s="130"/>
      <c r="O19" s="130"/>
      <c r="P19" s="130"/>
      <c r="Q19" s="130"/>
      <c r="R19" s="130"/>
      <c r="S19" s="130"/>
      <c r="T19" s="130"/>
      <c r="U19" s="130"/>
      <c r="V19" s="130"/>
      <c r="W19" s="130"/>
      <c r="X19" s="130"/>
      <c r="Y19" s="130"/>
      <c r="Z19" s="130"/>
    </row>
    <row r="20" ht="14.25" customHeight="1">
      <c r="A20" s="150" t="s">
        <v>148</v>
      </c>
      <c r="B20" s="144"/>
      <c r="C20" s="94"/>
      <c r="D20" s="94"/>
      <c r="E20" s="95"/>
      <c r="F20" s="130"/>
      <c r="G20" s="130"/>
      <c r="H20" s="130"/>
      <c r="I20" s="130"/>
      <c r="J20" s="130"/>
      <c r="K20" s="130"/>
      <c r="L20" s="130"/>
      <c r="M20" s="130"/>
      <c r="N20" s="130"/>
      <c r="O20" s="130"/>
      <c r="P20" s="130"/>
      <c r="Q20" s="130"/>
      <c r="R20" s="130"/>
      <c r="S20" s="130"/>
      <c r="T20" s="130"/>
      <c r="U20" s="130"/>
      <c r="V20" s="130"/>
      <c r="W20" s="130"/>
      <c r="X20" s="130"/>
      <c r="Y20" s="130"/>
      <c r="Z20" s="130"/>
    </row>
    <row r="21" ht="14.25" customHeight="1">
      <c r="A21" s="146" t="s">
        <v>40</v>
      </c>
      <c r="B21" s="89"/>
      <c r="C21" s="89" t="s">
        <v>149</v>
      </c>
      <c r="D21" s="89" t="s">
        <v>150</v>
      </c>
      <c r="E21" s="118" t="s">
        <v>151</v>
      </c>
      <c r="F21" s="130"/>
      <c r="G21" s="130"/>
      <c r="H21" s="130"/>
      <c r="I21" s="130"/>
      <c r="J21" s="130"/>
      <c r="K21" s="130"/>
      <c r="L21" s="130"/>
      <c r="M21" s="130"/>
      <c r="N21" s="130"/>
      <c r="O21" s="130"/>
      <c r="P21" s="130"/>
      <c r="Q21" s="130"/>
      <c r="R21" s="130"/>
      <c r="S21" s="130"/>
      <c r="T21" s="130"/>
      <c r="U21" s="130"/>
      <c r="V21" s="130"/>
      <c r="W21" s="130"/>
      <c r="X21" s="130"/>
      <c r="Y21" s="130"/>
      <c r="Z21" s="130"/>
    </row>
    <row r="22" ht="14.25" customHeight="1">
      <c r="A22" s="147" t="s">
        <v>42</v>
      </c>
      <c r="B22" s="89"/>
      <c r="C22" s="89" t="s">
        <v>152</v>
      </c>
      <c r="D22" s="89" t="s">
        <v>153</v>
      </c>
      <c r="E22" s="118" t="s">
        <v>154</v>
      </c>
      <c r="F22" s="130"/>
      <c r="G22" s="130"/>
      <c r="H22" s="130"/>
      <c r="I22" s="130"/>
      <c r="J22" s="130"/>
      <c r="K22" s="130"/>
      <c r="L22" s="130"/>
      <c r="M22" s="130"/>
      <c r="N22" s="130"/>
      <c r="O22" s="130"/>
      <c r="P22" s="130"/>
      <c r="Q22" s="130"/>
      <c r="R22" s="130"/>
      <c r="S22" s="130"/>
      <c r="T22" s="130"/>
      <c r="U22" s="130"/>
      <c r="V22" s="130"/>
      <c r="W22" s="130"/>
      <c r="X22" s="130"/>
      <c r="Y22" s="130"/>
      <c r="Z22" s="130"/>
    </row>
    <row r="23" ht="14.25" customHeight="1">
      <c r="A23" s="147" t="s">
        <v>44</v>
      </c>
      <c r="B23" s="89"/>
      <c r="C23" s="89" t="s">
        <v>155</v>
      </c>
      <c r="D23" s="89" t="s">
        <v>156</v>
      </c>
      <c r="E23" s="118" t="s">
        <v>157</v>
      </c>
      <c r="F23" s="130"/>
      <c r="G23" s="130"/>
      <c r="H23" s="130"/>
      <c r="I23" s="130"/>
      <c r="J23" s="130"/>
      <c r="K23" s="130"/>
      <c r="L23" s="130"/>
      <c r="M23" s="130"/>
      <c r="N23" s="130"/>
      <c r="O23" s="130"/>
      <c r="P23" s="130"/>
      <c r="Q23" s="130"/>
      <c r="R23" s="130"/>
      <c r="S23" s="130"/>
      <c r="T23" s="130"/>
      <c r="U23" s="130"/>
      <c r="V23" s="130"/>
      <c r="W23" s="130"/>
      <c r="X23" s="130"/>
      <c r="Y23" s="130"/>
      <c r="Z23" s="130"/>
    </row>
    <row r="24" ht="14.25" customHeight="1">
      <c r="A24" s="147" t="s">
        <v>46</v>
      </c>
      <c r="B24" s="89"/>
      <c r="C24" s="115" t="s">
        <v>158</v>
      </c>
      <c r="D24" s="115" t="s">
        <v>159</v>
      </c>
      <c r="E24" s="118" t="s">
        <v>157</v>
      </c>
      <c r="F24" s="130"/>
      <c r="G24" s="130"/>
      <c r="H24" s="130"/>
      <c r="I24" s="130"/>
      <c r="J24" s="130"/>
      <c r="K24" s="130"/>
      <c r="L24" s="130"/>
      <c r="M24" s="130"/>
      <c r="N24" s="130"/>
      <c r="O24" s="130"/>
      <c r="P24" s="130"/>
      <c r="Q24" s="130"/>
      <c r="R24" s="130"/>
      <c r="S24" s="130"/>
      <c r="T24" s="130"/>
      <c r="U24" s="130"/>
      <c r="V24" s="130"/>
      <c r="W24" s="130"/>
      <c r="X24" s="130"/>
      <c r="Y24" s="130"/>
      <c r="Z24" s="130"/>
    </row>
    <row r="25" ht="14.25" customHeight="1">
      <c r="A25" s="150" t="s">
        <v>160</v>
      </c>
      <c r="B25" s="144"/>
      <c r="C25" s="94"/>
      <c r="D25" s="94"/>
      <c r="E25" s="95"/>
      <c r="F25" s="130"/>
      <c r="G25" s="130"/>
      <c r="H25" s="130"/>
      <c r="I25" s="130"/>
      <c r="J25" s="130"/>
      <c r="K25" s="130"/>
      <c r="L25" s="130"/>
      <c r="M25" s="130"/>
      <c r="N25" s="130"/>
      <c r="O25" s="130"/>
      <c r="P25" s="130"/>
      <c r="Q25" s="130"/>
      <c r="R25" s="130"/>
      <c r="S25" s="130"/>
      <c r="T25" s="130"/>
      <c r="U25" s="130"/>
      <c r="V25" s="130"/>
      <c r="W25" s="130"/>
      <c r="X25" s="130"/>
      <c r="Y25" s="130"/>
      <c r="Z25" s="130"/>
    </row>
    <row r="26" ht="14.25" customHeight="1">
      <c r="A26" s="151" t="s">
        <v>49</v>
      </c>
      <c r="B26" s="89"/>
      <c r="C26" s="89" t="s">
        <v>161</v>
      </c>
      <c r="D26" s="89" t="s">
        <v>162</v>
      </c>
      <c r="E26" s="118" t="s">
        <v>163</v>
      </c>
      <c r="F26" s="130"/>
      <c r="G26" s="130"/>
      <c r="H26" s="130"/>
      <c r="I26" s="130"/>
      <c r="J26" s="130"/>
      <c r="K26" s="130"/>
      <c r="L26" s="130"/>
      <c r="M26" s="130"/>
      <c r="N26" s="130"/>
      <c r="O26" s="130"/>
      <c r="P26" s="130"/>
      <c r="Q26" s="130"/>
      <c r="R26" s="130"/>
      <c r="S26" s="130"/>
      <c r="T26" s="130"/>
      <c r="U26" s="130"/>
      <c r="V26" s="130"/>
      <c r="W26" s="130"/>
      <c r="X26" s="130"/>
      <c r="Y26" s="130"/>
      <c r="Z26" s="130"/>
    </row>
    <row r="27" ht="14.25" customHeight="1">
      <c r="A27" s="151" t="s">
        <v>51</v>
      </c>
      <c r="B27" s="89"/>
      <c r="C27" s="89" t="s">
        <v>164</v>
      </c>
      <c r="D27" s="89" t="s">
        <v>165</v>
      </c>
      <c r="E27" s="118" t="s">
        <v>166</v>
      </c>
      <c r="F27" s="130"/>
      <c r="G27" s="130"/>
      <c r="H27" s="130"/>
      <c r="I27" s="130"/>
      <c r="J27" s="130"/>
      <c r="K27" s="130"/>
      <c r="L27" s="130"/>
      <c r="M27" s="130"/>
      <c r="N27" s="130"/>
      <c r="O27" s="130"/>
      <c r="P27" s="130"/>
      <c r="Q27" s="130"/>
      <c r="R27" s="130"/>
      <c r="S27" s="130"/>
      <c r="T27" s="130"/>
      <c r="U27" s="130"/>
      <c r="V27" s="130"/>
      <c r="W27" s="130"/>
      <c r="X27" s="130"/>
      <c r="Y27" s="130"/>
      <c r="Z27" s="130"/>
    </row>
    <row r="28" ht="14.25" customHeight="1">
      <c r="A28" s="152" t="s">
        <v>53</v>
      </c>
      <c r="B28" s="89"/>
      <c r="C28" s="89" t="s">
        <v>167</v>
      </c>
      <c r="D28" s="89" t="s">
        <v>168</v>
      </c>
      <c r="E28" s="118" t="s">
        <v>169</v>
      </c>
      <c r="F28" s="130"/>
      <c r="G28" s="130"/>
      <c r="H28" s="130"/>
      <c r="I28" s="130"/>
      <c r="J28" s="130"/>
      <c r="K28" s="130"/>
      <c r="L28" s="130"/>
      <c r="M28" s="130"/>
      <c r="N28" s="130"/>
      <c r="O28" s="130"/>
      <c r="P28" s="130"/>
      <c r="Q28" s="130"/>
      <c r="R28" s="130"/>
      <c r="S28" s="130"/>
      <c r="T28" s="130"/>
      <c r="U28" s="130"/>
      <c r="V28" s="130"/>
      <c r="W28" s="130"/>
      <c r="X28" s="130"/>
      <c r="Y28" s="130"/>
      <c r="Z28" s="130"/>
    </row>
    <row r="29" ht="14.25" customHeight="1">
      <c r="A29" s="153" t="s">
        <v>170</v>
      </c>
      <c r="B29" s="112"/>
      <c r="C29" s="112"/>
      <c r="D29" s="112"/>
      <c r="E29" s="113"/>
      <c r="F29" s="130"/>
      <c r="G29" s="130"/>
      <c r="H29" s="130"/>
      <c r="I29" s="130"/>
      <c r="J29" s="130"/>
      <c r="K29" s="130"/>
      <c r="L29" s="130"/>
      <c r="M29" s="130"/>
      <c r="N29" s="130"/>
      <c r="O29" s="130"/>
      <c r="P29" s="130"/>
      <c r="Q29" s="130"/>
      <c r="R29" s="130"/>
      <c r="S29" s="130"/>
      <c r="T29" s="130"/>
      <c r="U29" s="130"/>
      <c r="V29" s="130"/>
      <c r="W29" s="130"/>
      <c r="X29" s="130"/>
      <c r="Y29" s="130"/>
      <c r="Z29" s="130"/>
    </row>
    <row r="30" ht="14.25" customHeight="1">
      <c r="A30" s="151" t="s">
        <v>171</v>
      </c>
      <c r="B30" s="89"/>
      <c r="C30" s="89" t="s">
        <v>172</v>
      </c>
      <c r="D30" s="89" t="s">
        <v>173</v>
      </c>
      <c r="E30" s="118" t="s">
        <v>174</v>
      </c>
      <c r="F30" s="130"/>
      <c r="G30" s="130"/>
      <c r="H30" s="130"/>
      <c r="I30" s="130"/>
      <c r="J30" s="130"/>
      <c r="K30" s="130"/>
      <c r="L30" s="130"/>
      <c r="M30" s="130"/>
      <c r="N30" s="130"/>
      <c r="O30" s="130"/>
      <c r="P30" s="130"/>
      <c r="Q30" s="130"/>
      <c r="R30" s="130"/>
      <c r="S30" s="130"/>
      <c r="T30" s="130"/>
      <c r="U30" s="130"/>
      <c r="V30" s="130"/>
      <c r="W30" s="130"/>
      <c r="X30" s="130"/>
      <c r="Y30" s="130"/>
      <c r="Z30" s="130"/>
    </row>
    <row r="31" ht="14.25" customHeight="1">
      <c r="A31" s="151" t="s">
        <v>59</v>
      </c>
      <c r="B31" s="89"/>
      <c r="C31" s="89" t="s">
        <v>175</v>
      </c>
      <c r="D31" s="89" t="s">
        <v>176</v>
      </c>
      <c r="E31" s="118" t="s">
        <v>177</v>
      </c>
      <c r="F31" s="130"/>
      <c r="G31" s="130"/>
      <c r="H31" s="130"/>
      <c r="I31" s="130"/>
      <c r="J31" s="130"/>
      <c r="K31" s="130"/>
      <c r="L31" s="130"/>
      <c r="M31" s="130"/>
      <c r="N31" s="130"/>
      <c r="O31" s="130"/>
      <c r="P31" s="130"/>
      <c r="Q31" s="130"/>
      <c r="R31" s="130"/>
      <c r="S31" s="130"/>
      <c r="T31" s="130"/>
      <c r="U31" s="130"/>
      <c r="V31" s="130"/>
      <c r="W31" s="130"/>
      <c r="X31" s="130"/>
      <c r="Y31" s="130"/>
      <c r="Z31" s="130"/>
    </row>
    <row r="32" ht="14.25" customHeight="1">
      <c r="A32" s="151" t="s">
        <v>61</v>
      </c>
      <c r="B32" s="89"/>
      <c r="C32" s="89" t="s">
        <v>178</v>
      </c>
      <c r="D32" s="89" t="s">
        <v>179</v>
      </c>
      <c r="E32" s="118" t="s">
        <v>180</v>
      </c>
      <c r="F32" s="130"/>
      <c r="G32" s="130"/>
      <c r="H32" s="130"/>
      <c r="I32" s="130"/>
      <c r="J32" s="130"/>
      <c r="K32" s="130"/>
      <c r="L32" s="130"/>
      <c r="M32" s="130"/>
      <c r="N32" s="130"/>
      <c r="O32" s="130"/>
      <c r="P32" s="130"/>
      <c r="Q32" s="130"/>
      <c r="R32" s="130"/>
      <c r="S32" s="130"/>
      <c r="T32" s="130"/>
      <c r="U32" s="130"/>
      <c r="V32" s="130"/>
      <c r="W32" s="130"/>
      <c r="X32" s="130"/>
      <c r="Y32" s="130"/>
      <c r="Z32" s="130"/>
    </row>
    <row r="33" ht="14.25" customHeight="1">
      <c r="A33" s="153" t="s">
        <v>181</v>
      </c>
      <c r="B33" s="112"/>
      <c r="C33" s="112"/>
      <c r="D33" s="112"/>
      <c r="E33" s="113"/>
      <c r="F33" s="130"/>
      <c r="G33" s="130"/>
      <c r="H33" s="130"/>
      <c r="I33" s="130"/>
      <c r="J33" s="130"/>
      <c r="K33" s="130"/>
      <c r="L33" s="130"/>
      <c r="M33" s="130"/>
      <c r="N33" s="130"/>
      <c r="O33" s="130"/>
      <c r="P33" s="130"/>
      <c r="Q33" s="130"/>
      <c r="R33" s="130"/>
      <c r="S33" s="130"/>
      <c r="T33" s="130"/>
      <c r="U33" s="130"/>
      <c r="V33" s="130"/>
      <c r="W33" s="130"/>
      <c r="X33" s="130"/>
      <c r="Y33" s="130"/>
      <c r="Z33" s="130"/>
    </row>
    <row r="34" ht="14.25" customHeight="1">
      <c r="A34" s="151" t="s">
        <v>64</v>
      </c>
      <c r="B34" s="89"/>
      <c r="C34" s="89" t="s">
        <v>182</v>
      </c>
      <c r="D34" s="89" t="s">
        <v>183</v>
      </c>
      <c r="E34" s="118" t="s">
        <v>184</v>
      </c>
      <c r="F34" s="130"/>
      <c r="G34" s="130"/>
      <c r="H34" s="130"/>
      <c r="I34" s="130"/>
      <c r="J34" s="130"/>
      <c r="K34" s="130"/>
      <c r="L34" s="130"/>
      <c r="M34" s="130"/>
      <c r="N34" s="130"/>
      <c r="O34" s="130"/>
      <c r="P34" s="130"/>
      <c r="Q34" s="130"/>
      <c r="R34" s="130"/>
      <c r="S34" s="130"/>
      <c r="T34" s="130"/>
      <c r="U34" s="130"/>
      <c r="V34" s="130"/>
      <c r="W34" s="130"/>
      <c r="X34" s="130"/>
      <c r="Y34" s="130"/>
      <c r="Z34" s="130"/>
    </row>
    <row r="35" ht="14.25" customHeight="1">
      <c r="A35" s="151" t="s">
        <v>66</v>
      </c>
      <c r="B35" s="89"/>
      <c r="C35" s="89" t="s">
        <v>185</v>
      </c>
      <c r="D35" s="89" t="s">
        <v>186</v>
      </c>
      <c r="E35" s="118" t="s">
        <v>187</v>
      </c>
      <c r="F35" s="130"/>
      <c r="G35" s="130"/>
      <c r="H35" s="130"/>
      <c r="I35" s="130"/>
      <c r="J35" s="130"/>
      <c r="K35" s="130"/>
      <c r="L35" s="130"/>
      <c r="M35" s="130"/>
      <c r="N35" s="130"/>
      <c r="O35" s="130"/>
      <c r="P35" s="130"/>
      <c r="Q35" s="130"/>
      <c r="R35" s="130"/>
      <c r="S35" s="130"/>
      <c r="T35" s="130"/>
      <c r="U35" s="130"/>
      <c r="V35" s="130"/>
      <c r="W35" s="130"/>
      <c r="X35" s="130"/>
      <c r="Y35" s="130"/>
      <c r="Z35" s="130"/>
    </row>
    <row r="36" ht="14.25" customHeight="1">
      <c r="A36" s="151" t="s">
        <v>68</v>
      </c>
      <c r="B36" s="89"/>
      <c r="C36" s="89" t="s">
        <v>188</v>
      </c>
      <c r="D36" s="89" t="s">
        <v>189</v>
      </c>
      <c r="E36" s="118" t="s">
        <v>190</v>
      </c>
      <c r="F36" s="130"/>
      <c r="G36" s="130"/>
      <c r="H36" s="130"/>
      <c r="I36" s="130"/>
      <c r="J36" s="130"/>
      <c r="K36" s="130"/>
      <c r="L36" s="130"/>
      <c r="M36" s="130"/>
      <c r="N36" s="130"/>
      <c r="O36" s="130"/>
      <c r="P36" s="130"/>
      <c r="Q36" s="130"/>
      <c r="R36" s="130"/>
      <c r="S36" s="130"/>
      <c r="T36" s="130"/>
      <c r="U36" s="130"/>
      <c r="V36" s="130"/>
      <c r="W36" s="130"/>
      <c r="X36" s="130"/>
      <c r="Y36" s="130"/>
      <c r="Z36" s="130"/>
    </row>
    <row r="37" ht="14.25" customHeight="1">
      <c r="A37" s="153" t="s">
        <v>191</v>
      </c>
      <c r="B37" s="112"/>
      <c r="C37" s="112"/>
      <c r="D37" s="112"/>
      <c r="E37" s="113"/>
      <c r="F37" s="130"/>
      <c r="G37" s="130"/>
      <c r="H37" s="130"/>
      <c r="I37" s="130"/>
      <c r="J37" s="130"/>
      <c r="K37" s="130"/>
      <c r="L37" s="130"/>
      <c r="M37" s="130"/>
      <c r="N37" s="130"/>
      <c r="O37" s="130"/>
      <c r="P37" s="130"/>
      <c r="Q37" s="130"/>
      <c r="R37" s="130"/>
      <c r="S37" s="130"/>
      <c r="T37" s="130"/>
      <c r="U37" s="130"/>
      <c r="V37" s="130"/>
      <c r="W37" s="130"/>
      <c r="X37" s="130"/>
      <c r="Y37" s="130"/>
      <c r="Z37" s="130"/>
    </row>
    <row r="38" ht="14.25" customHeight="1">
      <c r="A38" s="151" t="s">
        <v>71</v>
      </c>
      <c r="B38" s="89"/>
      <c r="C38" s="89" t="s">
        <v>192</v>
      </c>
      <c r="D38" s="89" t="s">
        <v>193</v>
      </c>
      <c r="E38" s="118" t="s">
        <v>194</v>
      </c>
      <c r="F38" s="130"/>
      <c r="G38" s="130"/>
      <c r="H38" s="130"/>
      <c r="I38" s="130"/>
      <c r="J38" s="130"/>
      <c r="K38" s="130"/>
      <c r="L38" s="130"/>
      <c r="M38" s="130"/>
      <c r="N38" s="130"/>
      <c r="O38" s="130"/>
      <c r="P38" s="130"/>
      <c r="Q38" s="130"/>
      <c r="R38" s="130"/>
      <c r="S38" s="130"/>
      <c r="T38" s="130"/>
      <c r="U38" s="130"/>
      <c r="V38" s="130"/>
      <c r="W38" s="130"/>
      <c r="X38" s="130"/>
      <c r="Y38" s="130"/>
      <c r="Z38" s="130"/>
    </row>
    <row r="39" ht="14.25" customHeight="1">
      <c r="A39" s="151" t="s">
        <v>73</v>
      </c>
      <c r="B39" s="89"/>
      <c r="C39" s="89" t="s">
        <v>195</v>
      </c>
      <c r="D39" s="89" t="s">
        <v>196</v>
      </c>
      <c r="E39" s="118" t="s">
        <v>197</v>
      </c>
      <c r="F39" s="130"/>
      <c r="G39" s="130"/>
      <c r="H39" s="130"/>
      <c r="I39" s="130"/>
      <c r="J39" s="130"/>
      <c r="K39" s="130"/>
      <c r="L39" s="130"/>
      <c r="M39" s="130"/>
      <c r="N39" s="130"/>
      <c r="O39" s="130"/>
      <c r="P39" s="130"/>
      <c r="Q39" s="130"/>
      <c r="R39" s="130"/>
      <c r="S39" s="130"/>
      <c r="T39" s="130"/>
      <c r="U39" s="130"/>
      <c r="V39" s="130"/>
      <c r="W39" s="130"/>
      <c r="X39" s="130"/>
      <c r="Y39" s="130"/>
      <c r="Z39" s="130"/>
    </row>
    <row r="40" ht="14.25" customHeight="1">
      <c r="A40" s="151" t="s">
        <v>75</v>
      </c>
      <c r="B40" s="89"/>
      <c r="C40" s="89" t="s">
        <v>198</v>
      </c>
      <c r="D40" s="89" t="s">
        <v>199</v>
      </c>
      <c r="E40" s="118" t="s">
        <v>200</v>
      </c>
      <c r="F40" s="130"/>
      <c r="G40" s="130"/>
      <c r="H40" s="130"/>
      <c r="I40" s="130"/>
      <c r="J40" s="130"/>
      <c r="K40" s="130"/>
      <c r="L40" s="130"/>
      <c r="M40" s="130"/>
      <c r="N40" s="130"/>
      <c r="O40" s="130"/>
      <c r="P40" s="130"/>
      <c r="Q40" s="130"/>
      <c r="R40" s="130"/>
      <c r="S40" s="130"/>
      <c r="T40" s="130"/>
      <c r="U40" s="130"/>
      <c r="V40" s="130"/>
      <c r="W40" s="130"/>
      <c r="X40" s="130"/>
      <c r="Y40" s="130"/>
      <c r="Z40" s="130"/>
    </row>
    <row r="41" ht="14.25" customHeight="1">
      <c r="A41" s="153" t="s">
        <v>201</v>
      </c>
      <c r="B41" s="112"/>
      <c r="C41" s="112"/>
      <c r="D41" s="112"/>
      <c r="E41" s="113"/>
      <c r="F41" s="130"/>
      <c r="G41" s="130"/>
      <c r="H41" s="130"/>
      <c r="I41" s="130"/>
      <c r="J41" s="130"/>
      <c r="K41" s="130"/>
      <c r="L41" s="130"/>
      <c r="M41" s="130"/>
      <c r="N41" s="130"/>
      <c r="O41" s="130"/>
      <c r="P41" s="130"/>
      <c r="Q41" s="130"/>
      <c r="R41" s="130"/>
      <c r="S41" s="130"/>
      <c r="T41" s="130"/>
      <c r="U41" s="130"/>
      <c r="V41" s="130"/>
      <c r="W41" s="130"/>
      <c r="X41" s="130"/>
      <c r="Y41" s="130"/>
      <c r="Z41" s="130"/>
    </row>
    <row r="42" ht="14.25" customHeight="1">
      <c r="A42" s="147" t="s">
        <v>78</v>
      </c>
      <c r="B42" s="89"/>
      <c r="C42" s="89" t="s">
        <v>202</v>
      </c>
      <c r="D42" s="89" t="s">
        <v>203</v>
      </c>
      <c r="E42" s="118" t="s">
        <v>204</v>
      </c>
      <c r="F42" s="130"/>
      <c r="G42" s="130"/>
      <c r="H42" s="130"/>
      <c r="I42" s="130"/>
      <c r="J42" s="130"/>
      <c r="K42" s="130"/>
      <c r="L42" s="130"/>
      <c r="M42" s="130"/>
      <c r="N42" s="130"/>
      <c r="O42" s="130"/>
      <c r="P42" s="130"/>
      <c r="Q42" s="130"/>
      <c r="R42" s="130"/>
      <c r="S42" s="130"/>
      <c r="T42" s="130"/>
      <c r="U42" s="130"/>
      <c r="V42" s="130"/>
      <c r="W42" s="130"/>
      <c r="X42" s="130"/>
      <c r="Y42" s="130"/>
      <c r="Z42" s="130"/>
    </row>
    <row r="43" ht="14.25" customHeight="1">
      <c r="A43" s="147" t="s">
        <v>80</v>
      </c>
      <c r="B43" s="89"/>
      <c r="C43" s="89" t="s">
        <v>205</v>
      </c>
      <c r="D43" s="89" t="s">
        <v>206</v>
      </c>
      <c r="E43" s="118" t="s">
        <v>207</v>
      </c>
      <c r="F43" s="130"/>
      <c r="G43" s="130"/>
      <c r="H43" s="130"/>
      <c r="I43" s="130"/>
      <c r="J43" s="130"/>
      <c r="K43" s="130"/>
      <c r="L43" s="130"/>
      <c r="M43" s="130"/>
      <c r="N43" s="130"/>
      <c r="O43" s="130"/>
      <c r="P43" s="130"/>
      <c r="Q43" s="130"/>
      <c r="R43" s="130"/>
      <c r="S43" s="130"/>
      <c r="T43" s="130"/>
      <c r="U43" s="130"/>
      <c r="V43" s="130"/>
      <c r="W43" s="130"/>
      <c r="X43" s="130"/>
      <c r="Y43" s="130"/>
      <c r="Z43" s="130"/>
    </row>
    <row r="44" ht="14.25" customHeight="1">
      <c r="A44" s="147" t="s">
        <v>82</v>
      </c>
      <c r="B44" s="89"/>
      <c r="C44" s="89" t="s">
        <v>208</v>
      </c>
      <c r="D44" s="89" t="s">
        <v>209</v>
      </c>
      <c r="E44" s="118" t="s">
        <v>210</v>
      </c>
      <c r="F44" s="130"/>
      <c r="G44" s="130"/>
      <c r="H44" s="130"/>
      <c r="I44" s="130"/>
      <c r="J44" s="130"/>
      <c r="K44" s="130"/>
      <c r="L44" s="130"/>
      <c r="M44" s="130"/>
      <c r="N44" s="130"/>
      <c r="O44" s="130"/>
      <c r="P44" s="130"/>
      <c r="Q44" s="130"/>
      <c r="R44" s="130"/>
      <c r="S44" s="130"/>
      <c r="T44" s="130"/>
      <c r="U44" s="130"/>
      <c r="V44" s="130"/>
      <c r="W44" s="130"/>
      <c r="X44" s="130"/>
      <c r="Y44" s="130"/>
      <c r="Z44" s="130"/>
    </row>
    <row r="45" ht="14.25" customHeight="1">
      <c r="A45" s="154" t="s">
        <v>211</v>
      </c>
      <c r="B45" s="122"/>
      <c r="C45" s="122"/>
      <c r="D45" s="122"/>
      <c r="E45" s="123"/>
      <c r="F45" s="130"/>
      <c r="G45" s="130"/>
      <c r="H45" s="130"/>
      <c r="I45" s="130"/>
      <c r="J45" s="130"/>
      <c r="K45" s="130"/>
      <c r="L45" s="130"/>
      <c r="M45" s="130"/>
      <c r="N45" s="130"/>
      <c r="O45" s="130"/>
      <c r="P45" s="130"/>
      <c r="Q45" s="130"/>
      <c r="R45" s="130"/>
      <c r="S45" s="130"/>
      <c r="T45" s="130"/>
      <c r="U45" s="130"/>
      <c r="V45" s="130"/>
      <c r="W45" s="130"/>
      <c r="X45" s="130"/>
      <c r="Y45" s="130"/>
      <c r="Z45" s="130"/>
    </row>
    <row r="46" ht="14.25" customHeight="1">
      <c r="A46" s="151" t="s">
        <v>86</v>
      </c>
      <c r="B46" s="89"/>
      <c r="C46" s="89" t="s">
        <v>212</v>
      </c>
      <c r="D46" s="89" t="s">
        <v>213</v>
      </c>
      <c r="E46" s="118" t="s">
        <v>214</v>
      </c>
      <c r="F46" s="130"/>
      <c r="G46" s="130"/>
      <c r="H46" s="130"/>
      <c r="I46" s="130"/>
      <c r="J46" s="130"/>
      <c r="K46" s="130"/>
      <c r="L46" s="130"/>
      <c r="M46" s="130"/>
      <c r="N46" s="130"/>
      <c r="O46" s="130"/>
      <c r="P46" s="130"/>
      <c r="Q46" s="130"/>
      <c r="R46" s="130"/>
      <c r="S46" s="130"/>
      <c r="T46" s="130"/>
      <c r="U46" s="130"/>
      <c r="V46" s="130"/>
      <c r="W46" s="130"/>
      <c r="X46" s="130"/>
      <c r="Y46" s="130"/>
      <c r="Z46" s="130"/>
    </row>
    <row r="47" ht="14.25" customHeight="1">
      <c r="A47" s="151" t="s">
        <v>88</v>
      </c>
      <c r="B47" s="89"/>
      <c r="C47" s="91" t="s">
        <v>215</v>
      </c>
      <c r="D47" s="91" t="s">
        <v>216</v>
      </c>
      <c r="E47" s="155" t="s">
        <v>217</v>
      </c>
      <c r="F47" s="130"/>
      <c r="G47" s="130"/>
      <c r="H47" s="130"/>
      <c r="I47" s="130"/>
      <c r="J47" s="130"/>
      <c r="K47" s="130"/>
      <c r="L47" s="130"/>
      <c r="M47" s="130"/>
      <c r="N47" s="130"/>
      <c r="O47" s="130"/>
      <c r="P47" s="130"/>
      <c r="Q47" s="130"/>
      <c r="R47" s="130"/>
      <c r="S47" s="130"/>
      <c r="T47" s="130"/>
      <c r="U47" s="130"/>
      <c r="V47" s="130"/>
      <c r="W47" s="130"/>
      <c r="X47" s="130"/>
      <c r="Y47" s="130"/>
      <c r="Z47" s="130"/>
    </row>
    <row r="48" ht="14.25" customHeight="1">
      <c r="A48" s="151" t="s">
        <v>89</v>
      </c>
      <c r="B48" s="89"/>
      <c r="C48" s="89" t="s">
        <v>218</v>
      </c>
      <c r="D48" s="89" t="s">
        <v>219</v>
      </c>
      <c r="E48" s="118" t="s">
        <v>220</v>
      </c>
      <c r="F48" s="130"/>
      <c r="G48" s="130"/>
      <c r="H48" s="130"/>
      <c r="I48" s="130"/>
      <c r="J48" s="130"/>
      <c r="K48" s="130"/>
      <c r="L48" s="130"/>
      <c r="M48" s="130"/>
      <c r="N48" s="130"/>
      <c r="O48" s="130"/>
      <c r="P48" s="130"/>
      <c r="Q48" s="130"/>
      <c r="R48" s="130"/>
      <c r="S48" s="130"/>
      <c r="T48" s="130"/>
      <c r="U48" s="130"/>
      <c r="V48" s="130"/>
      <c r="W48" s="130"/>
      <c r="X48" s="130"/>
      <c r="Y48" s="130"/>
      <c r="Z48" s="130"/>
    </row>
    <row r="49" ht="14.25" customHeight="1">
      <c r="A49" s="151" t="s">
        <v>91</v>
      </c>
      <c r="B49" s="89"/>
      <c r="C49" s="115" t="s">
        <v>221</v>
      </c>
      <c r="D49" s="115" t="s">
        <v>222</v>
      </c>
      <c r="E49" s="90" t="s">
        <v>223</v>
      </c>
      <c r="F49" s="130"/>
      <c r="G49" s="130"/>
      <c r="H49" s="130"/>
      <c r="I49" s="130"/>
      <c r="J49" s="130"/>
      <c r="K49" s="130"/>
      <c r="L49" s="130"/>
      <c r="M49" s="130"/>
      <c r="N49" s="130"/>
      <c r="O49" s="130"/>
      <c r="P49" s="130"/>
      <c r="Q49" s="130"/>
      <c r="R49" s="130"/>
      <c r="S49" s="130"/>
      <c r="T49" s="130"/>
      <c r="U49" s="130"/>
      <c r="V49" s="130"/>
      <c r="W49" s="130"/>
      <c r="X49" s="130"/>
      <c r="Y49" s="130"/>
      <c r="Z49" s="130"/>
    </row>
    <row r="50" ht="14.25" customHeight="1">
      <c r="A50" s="151" t="s">
        <v>93</v>
      </c>
      <c r="B50" s="89"/>
      <c r="C50" s="115" t="s">
        <v>224</v>
      </c>
      <c r="D50" s="115" t="s">
        <v>225</v>
      </c>
      <c r="E50" s="90" t="s">
        <v>226</v>
      </c>
      <c r="F50" s="130"/>
      <c r="G50" s="130"/>
      <c r="H50" s="130"/>
      <c r="I50" s="130"/>
      <c r="J50" s="130"/>
      <c r="K50" s="130"/>
      <c r="L50" s="130"/>
      <c r="M50" s="130"/>
      <c r="N50" s="130"/>
      <c r="O50" s="130"/>
      <c r="P50" s="130"/>
      <c r="Q50" s="130"/>
      <c r="R50" s="130"/>
      <c r="S50" s="130"/>
      <c r="T50" s="130"/>
      <c r="U50" s="130"/>
      <c r="V50" s="130"/>
      <c r="W50" s="130"/>
      <c r="X50" s="130"/>
      <c r="Y50" s="130"/>
      <c r="Z50" s="130"/>
    </row>
    <row r="51" ht="14.25" customHeight="1">
      <c r="A51" s="156" t="s">
        <v>95</v>
      </c>
      <c r="B51" s="127"/>
      <c r="C51" s="157" t="s">
        <v>227</v>
      </c>
      <c r="D51" s="157" t="s">
        <v>228</v>
      </c>
      <c r="E51" s="158" t="s">
        <v>229</v>
      </c>
      <c r="F51" s="130"/>
      <c r="G51" s="130"/>
      <c r="H51" s="130"/>
      <c r="I51" s="130"/>
      <c r="J51" s="130"/>
      <c r="K51" s="130"/>
      <c r="L51" s="130"/>
      <c r="M51" s="130"/>
      <c r="N51" s="130"/>
      <c r="O51" s="130"/>
      <c r="P51" s="130"/>
      <c r="Q51" s="130"/>
      <c r="R51" s="130"/>
      <c r="S51" s="130"/>
      <c r="T51" s="130"/>
      <c r="U51" s="130"/>
      <c r="V51" s="130"/>
      <c r="W51" s="130"/>
      <c r="X51" s="130"/>
      <c r="Y51" s="130"/>
      <c r="Z51" s="130"/>
    </row>
    <row r="52" ht="14.2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ht="14.2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ht="14.2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ht="14.2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ht="14.2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ht="14.2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ht="14.2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ht="14.2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ht="14.2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ht="14.2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ht="14.2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ht="14.2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ht="14.2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ht="14.2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ht="14.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ht="14.2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ht="14.2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ht="14.2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ht="14.2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ht="14.2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ht="14.2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ht="14.2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ht="14.2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ht="14.2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ht="14.2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ht="14.2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ht="14.2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ht="14.2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ht="14.2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ht="14.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ht="14.2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ht="14.2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ht="14.2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ht="14.2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ht="14.2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ht="14.2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ht="14.2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ht="14.2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ht="14.2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ht="14.2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ht="14.2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ht="14.2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ht="14.2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ht="14.2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ht="14.2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ht="14.2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ht="14.2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ht="14.2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ht="14.2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ht="14.2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ht="14.2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ht="14.2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ht="14.2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ht="14.2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ht="14.2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ht="14.2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ht="14.2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ht="14.2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ht="14.2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ht="14.2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ht="14.2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ht="14.2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ht="14.2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ht="14.2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ht="14.2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ht="14.2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ht="14.2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ht="14.2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ht="14.2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ht="14.2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ht="14.2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ht="14.2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ht="14.2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ht="14.2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ht="14.2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ht="14.2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ht="14.2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ht="14.2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ht="14.2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ht="14.2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ht="14.2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ht="14.2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ht="14.2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ht="14.2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ht="14.2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ht="14.2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ht="14.2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ht="14.2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ht="14.2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ht="14.2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ht="14.2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ht="14.2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ht="14.2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ht="14.2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ht="14.2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ht="14.2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ht="14.2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ht="14.2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ht="14.2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ht="14.2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ht="14.2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ht="14.2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ht="14.2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ht="14.2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ht="14.2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ht="14.2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ht="14.2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ht="14.2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ht="14.2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ht="14.2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ht="14.2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ht="14.2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ht="14.2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ht="14.2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ht="14.2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ht="14.2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ht="14.2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ht="14.2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ht="14.2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ht="14.2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ht="14.2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ht="14.2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ht="14.2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ht="14.2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ht="14.2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ht="14.2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ht="14.2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ht="14.2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ht="14.2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ht="14.2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ht="14.2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ht="14.2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ht="14.2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ht="14.2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ht="14.2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ht="14.2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ht="14.2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ht="14.2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ht="14.2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ht="14.2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ht="14.2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ht="14.2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ht="14.2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ht="14.2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ht="14.2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ht="14.2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ht="14.2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ht="14.2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ht="14.2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ht="14.2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ht="14.2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ht="14.2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ht="14.2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ht="14.2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ht="14.2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ht="14.2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ht="14.2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ht="14.2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ht="14.2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ht="14.2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ht="14.2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ht="14.2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ht="14.2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ht="14.2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ht="14.2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ht="14.2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ht="14.2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ht="14.2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ht="14.2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ht="14.2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ht="14.2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ht="14.2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ht="14.2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ht="14.2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ht="14.2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ht="14.2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ht="14.2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ht="14.2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ht="14.2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ht="14.2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ht="14.2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ht="14.2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ht="14.2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ht="14.2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ht="14.2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ht="14.2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ht="14.2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ht="14.2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ht="14.2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ht="14.2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ht="14.2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ht="14.2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ht="14.2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ht="14.2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ht="14.2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ht="14.2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ht="14.2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ht="14.2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ht="14.2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ht="14.2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ht="14.2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ht="14.2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ht="14.2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ht="14.2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ht="14.2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ht="14.2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ht="14.2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ht="14.2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ht="14.2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ht="14.2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ht="14.2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ht="14.2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ht="14.2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ht="14.2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ht="14.2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ht="14.2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ht="14.2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ht="14.2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ht="14.2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ht="14.2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ht="14.2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ht="14.2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ht="14.2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ht="14.2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ht="14.2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ht="14.2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ht="14.2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ht="14.2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ht="14.2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ht="14.2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ht="14.2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ht="14.2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ht="14.2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ht="14.2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ht="14.2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ht="14.2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ht="14.2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ht="14.2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ht="14.2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ht="14.2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ht="14.2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ht="14.2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ht="14.2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ht="14.2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ht="14.2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ht="14.2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ht="14.2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ht="14.2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ht="14.2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ht="14.2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ht="14.2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ht="14.2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ht="14.2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ht="14.2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ht="14.2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ht="14.2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ht="14.2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ht="14.2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ht="14.2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ht="14.2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ht="14.2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ht="14.2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ht="14.2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ht="14.2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ht="14.2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ht="14.2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ht="14.2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ht="14.2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ht="14.2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ht="14.2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ht="14.2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ht="14.2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ht="14.2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ht="14.2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ht="14.2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ht="14.2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ht="14.2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ht="14.2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ht="14.2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ht="14.2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ht="14.2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ht="14.2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ht="14.2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ht="14.2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ht="14.2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ht="14.2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ht="14.2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ht="14.2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ht="14.2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ht="14.2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ht="14.2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ht="14.2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ht="14.2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ht="14.2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ht="14.2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ht="14.2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ht="14.2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ht="14.2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ht="14.2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ht="14.2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ht="14.2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ht="14.2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ht="14.2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ht="14.2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ht="14.2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ht="14.2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ht="14.2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ht="14.2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ht="14.2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ht="14.2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ht="14.2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ht="14.2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ht="14.2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ht="14.2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ht="14.2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ht="14.2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ht="14.2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ht="14.2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ht="14.2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ht="14.2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ht="14.2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ht="14.2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ht="14.2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ht="14.2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ht="14.2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ht="14.2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ht="14.2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ht="14.2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ht="14.2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ht="14.2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ht="14.2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ht="14.2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ht="14.2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ht="14.2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ht="14.2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ht="14.2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ht="14.2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ht="14.2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ht="14.2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ht="14.2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ht="14.2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ht="14.2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ht="14.2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ht="14.2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ht="14.2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ht="14.2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ht="14.2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ht="14.2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ht="14.2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ht="14.2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ht="14.2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ht="14.2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ht="14.2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ht="14.2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ht="14.2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ht="14.2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ht="14.2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ht="14.2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ht="14.2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ht="14.2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ht="14.2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ht="14.2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ht="14.2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ht="14.2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ht="14.2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ht="14.2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ht="14.2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ht="14.2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ht="14.2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ht="14.2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ht="14.2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ht="14.2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ht="14.2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ht="14.2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ht="14.2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ht="14.2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ht="14.2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ht="14.2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ht="14.2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ht="14.2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ht="14.2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ht="14.2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ht="14.2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ht="14.2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ht="14.2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ht="14.2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ht="14.2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ht="14.2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ht="14.2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ht="14.2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ht="14.2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ht="14.2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ht="14.2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ht="14.2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ht="14.2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ht="14.2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ht="14.2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ht="14.2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ht="14.2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ht="14.2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ht="14.2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ht="14.2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ht="14.2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ht="14.2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ht="14.2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ht="14.2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ht="14.2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ht="14.2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ht="14.2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ht="14.2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ht="14.2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ht="14.2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ht="14.2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ht="14.2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ht="14.2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ht="14.2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ht="14.2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ht="14.2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ht="14.2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ht="14.2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ht="14.2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ht="14.2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ht="14.2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ht="14.2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ht="14.2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ht="14.2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ht="14.2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ht="14.2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ht="14.2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ht="14.2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ht="14.2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ht="14.2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ht="14.2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ht="14.2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ht="14.2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ht="14.2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ht="14.2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ht="14.2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ht="14.2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ht="14.2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ht="14.2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ht="14.2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ht="14.2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ht="14.2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ht="14.2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ht="14.2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ht="14.2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ht="14.2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ht="14.2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ht="14.2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ht="14.2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ht="14.2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ht="14.2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ht="14.2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ht="14.2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ht="14.2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ht="14.2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ht="14.2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ht="14.2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ht="14.2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ht="14.2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ht="14.2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ht="14.2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ht="14.2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ht="14.2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ht="14.2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ht="14.2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ht="14.2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ht="14.2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ht="14.2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ht="14.2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ht="14.2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ht="14.2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ht="14.2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ht="14.2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ht="14.2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ht="14.2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ht="14.2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ht="14.2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ht="14.2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ht="14.2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ht="14.2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ht="14.2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ht="14.2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ht="14.2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ht="14.2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ht="14.2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ht="14.2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ht="14.2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ht="14.2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ht="14.2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ht="14.2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ht="14.2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ht="14.2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ht="14.2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ht="14.2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ht="14.2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ht="14.2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ht="14.2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ht="14.2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ht="14.2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ht="14.2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ht="14.2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ht="14.2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ht="14.2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ht="14.2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ht="14.2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ht="14.2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ht="14.2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ht="14.2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ht="14.2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ht="14.2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ht="14.2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ht="14.2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ht="14.2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ht="14.2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ht="14.2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ht="14.2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ht="14.2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ht="14.2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ht="14.2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ht="14.2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ht="14.2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ht="14.2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ht="14.2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ht="14.2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ht="14.2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ht="14.2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ht="14.2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ht="14.2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ht="14.2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ht="14.2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ht="14.2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ht="14.2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ht="14.2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ht="14.2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ht="14.2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ht="14.2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ht="14.2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ht="14.2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ht="14.2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ht="14.2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ht="14.2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ht="14.2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ht="14.2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ht="14.2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ht="14.2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ht="14.2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ht="14.2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ht="14.2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ht="14.2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ht="14.2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ht="14.2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ht="14.2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ht="14.2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ht="14.2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ht="14.2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ht="14.2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ht="14.2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ht="14.2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ht="14.2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ht="14.2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ht="14.2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ht="14.2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ht="14.2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ht="14.2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ht="14.2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ht="14.2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ht="14.2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ht="14.2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ht="14.2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ht="14.2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ht="14.2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ht="14.2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ht="14.2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ht="14.2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ht="14.2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ht="14.2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ht="14.2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ht="14.2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ht="14.2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ht="14.2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ht="14.2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ht="14.2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ht="14.2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ht="14.2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ht="14.2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ht="14.2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ht="14.2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ht="14.2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ht="14.2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ht="14.2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ht="14.2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ht="14.2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ht="14.2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ht="14.2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ht="14.2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ht="14.2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ht="14.2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ht="14.2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ht="14.2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ht="14.2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ht="14.2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ht="14.2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ht="14.2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ht="14.2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ht="14.2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ht="14.2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ht="14.2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ht="14.2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ht="14.2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ht="14.2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ht="14.2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ht="14.2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ht="14.2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ht="14.2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ht="14.2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ht="14.2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ht="14.2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ht="14.2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ht="14.2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ht="14.2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ht="14.2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ht="14.2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ht="14.2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ht="14.2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ht="14.2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ht="14.2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ht="14.2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ht="14.2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ht="14.2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ht="14.2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ht="14.2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ht="14.2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ht="14.2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ht="14.2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ht="14.2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ht="14.2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ht="14.2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ht="14.2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ht="14.2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ht="14.2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ht="14.2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ht="14.2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ht="14.2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ht="14.2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ht="14.2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ht="14.2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ht="14.2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ht="14.2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ht="14.2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ht="14.2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ht="14.2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ht="14.2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ht="14.2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ht="14.2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ht="14.2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ht="14.2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ht="14.2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ht="14.2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ht="14.2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ht="14.2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ht="14.2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ht="14.2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ht="14.2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ht="14.2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ht="14.2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ht="14.2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ht="14.2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ht="14.2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ht="14.2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ht="14.2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ht="14.2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ht="14.2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ht="14.2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ht="14.2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ht="14.2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ht="14.2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ht="14.2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ht="14.2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ht="14.2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ht="14.2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ht="14.2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ht="14.2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ht="14.2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ht="14.2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ht="14.2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ht="14.2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ht="14.2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ht="14.2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ht="14.2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ht="14.2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ht="14.2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ht="14.2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ht="14.2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ht="14.2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ht="14.2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ht="14.2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ht="14.2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ht="14.2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ht="14.2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ht="14.2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ht="14.2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ht="14.2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ht="14.2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ht="14.2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ht="14.2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ht="14.2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ht="14.2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ht="14.2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ht="14.2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ht="14.2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ht="14.2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ht="14.2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ht="14.2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ht="14.2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ht="14.2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ht="14.2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ht="14.2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ht="14.2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ht="14.2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ht="14.2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ht="14.2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ht="14.2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ht="14.2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ht="14.2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ht="14.2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ht="14.2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ht="14.2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ht="14.2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ht="14.2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ht="14.2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ht="14.2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ht="14.2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ht="14.2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ht="14.2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ht="14.2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ht="14.2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ht="14.2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ht="14.2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ht="14.2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ht="14.2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ht="14.2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ht="14.2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ht="14.2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ht="14.2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ht="14.2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ht="14.2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ht="14.2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ht="14.2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ht="14.2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ht="14.2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ht="14.2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ht="14.2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ht="14.2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ht="14.2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ht="14.2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ht="14.2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ht="14.2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ht="14.2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ht="14.2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ht="14.2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ht="14.2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ht="14.2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ht="14.2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ht="14.2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ht="14.2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ht="14.2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ht="14.2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ht="14.2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ht="14.2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ht="14.2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ht="14.2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ht="14.2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ht="14.2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ht="14.2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ht="14.2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ht="14.2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ht="14.2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ht="14.2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ht="14.2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ht="14.2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ht="14.2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ht="14.2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ht="14.2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ht="14.2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ht="14.2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ht="14.2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ht="14.2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ht="14.2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ht="14.2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ht="14.2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ht="14.2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ht="14.2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row r="1001" ht="14.25" customHeight="1">
      <c r="A1001" s="130"/>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row>
    <row r="1002" ht="14.25" customHeight="1">
      <c r="A1002" s="130"/>
      <c r="B1002" s="130"/>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row>
    <row r="1003" ht="14.25" customHeight="1">
      <c r="A1003" s="130"/>
      <c r="B1003" s="130"/>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row>
    <row r="1004" ht="14.25" customHeight="1">
      <c r="A1004" s="130"/>
      <c r="B1004" s="130"/>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row>
    <row r="1005" ht="14.25" customHeight="1">
      <c r="A1005" s="130"/>
      <c r="B1005" s="130"/>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row>
    <row r="1006" ht="14.25" customHeight="1">
      <c r="A1006" s="130"/>
      <c r="B1006" s="130"/>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row>
    <row r="1007" ht="14.25" customHeight="1">
      <c r="A1007" s="130"/>
      <c r="B1007" s="130"/>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row>
  </sheetData>
  <mergeCells count="3">
    <mergeCell ref="A1:E1"/>
    <mergeCell ref="A2:E2"/>
    <mergeCell ref="A3:E3"/>
  </mergeCells>
  <dataValidations>
    <dataValidation type="list" allowBlank="1" showErrorMessage="1" sqref="B6:B8 B10:B16 B18:B19 B21:B24 B26:B28 B30:B32 B34:B36 B38:B40 B42:B44 B46:B51">
      <formula1>'Data Validation'!B2:I2</formula1>
    </dataValidation>
  </dataValidations>
  <printOptions/>
  <pageMargins bottom="0.787401575" footer="0.0" header="0.0" left="0.7" right="0.7" top="0.7874015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EFD9"/>
    <pageSetUpPr/>
  </sheetPr>
  <sheetViews>
    <sheetView showGridLines="0" workbookViewId="0"/>
  </sheetViews>
  <sheetFormatPr customHeight="1" defaultColWidth="14.43" defaultRowHeight="15.0"/>
  <cols>
    <col customWidth="1" min="1" max="1" width="22.0"/>
    <col customWidth="1" min="2" max="2" width="27.29"/>
    <col customWidth="1" min="3" max="3" width="20.86"/>
    <col customWidth="1" min="4" max="4" width="35.43"/>
    <col customWidth="1" hidden="1" min="5" max="5" width="18.43"/>
    <col customWidth="1" hidden="1" min="6" max="6" width="18.86"/>
    <col customWidth="1" min="7" max="7" width="17.86"/>
    <col customWidth="1" hidden="1" min="8" max="8" width="5.57"/>
    <col customWidth="1" hidden="1" min="9" max="9" width="16.14"/>
    <col customWidth="1" min="10" max="10" width="25.57"/>
    <col customWidth="1" hidden="1" min="11" max="11" width="5.57"/>
    <col customWidth="1" hidden="1" min="12" max="12" width="16.14"/>
    <col customWidth="1" min="13" max="13" width="11.86"/>
    <col customWidth="1" min="14" max="14" width="15.29"/>
    <col customWidth="1" min="15" max="15" width="13.14"/>
    <col customWidth="1" min="16" max="27" width="11.57"/>
  </cols>
  <sheetData>
    <row r="1" ht="60.0" customHeight="1">
      <c r="A1" s="159" t="s">
        <v>230</v>
      </c>
      <c r="B1" s="160"/>
      <c r="C1" s="160"/>
      <c r="D1" s="160"/>
      <c r="E1" s="160"/>
      <c r="F1" s="160"/>
      <c r="G1" s="160"/>
      <c r="H1" s="160"/>
      <c r="I1" s="160"/>
      <c r="J1" s="160"/>
      <c r="K1" s="160"/>
      <c r="L1" s="160"/>
      <c r="M1" s="160"/>
      <c r="N1" s="160"/>
      <c r="O1" s="161"/>
      <c r="P1" s="130"/>
      <c r="Q1" s="130"/>
      <c r="R1" s="130"/>
      <c r="S1" s="130"/>
      <c r="T1" s="130"/>
      <c r="U1" s="130"/>
      <c r="V1" s="130"/>
      <c r="W1" s="130"/>
      <c r="X1" s="130"/>
      <c r="Y1" s="130"/>
      <c r="Z1" s="130"/>
      <c r="AA1" s="130"/>
    </row>
    <row r="2">
      <c r="A2" s="162" t="s">
        <v>231</v>
      </c>
      <c r="B2" s="70"/>
      <c r="C2" s="70"/>
      <c r="D2" s="70"/>
      <c r="E2" s="70"/>
      <c r="F2" s="70"/>
      <c r="G2" s="70"/>
      <c r="H2" s="70"/>
      <c r="I2" s="70"/>
      <c r="J2" s="70"/>
      <c r="K2" s="70"/>
      <c r="L2" s="70"/>
      <c r="M2" s="70"/>
      <c r="N2" s="70"/>
      <c r="O2" s="71"/>
      <c r="P2" s="130"/>
      <c r="Q2" s="130"/>
      <c r="R2" s="130"/>
      <c r="S2" s="130"/>
      <c r="T2" s="130"/>
      <c r="U2" s="130"/>
      <c r="V2" s="130"/>
      <c r="W2" s="130"/>
      <c r="X2" s="130"/>
      <c r="Y2" s="130"/>
      <c r="Z2" s="130"/>
      <c r="AA2" s="130"/>
    </row>
    <row r="3" ht="14.25" customHeight="1">
      <c r="A3" s="163" t="s">
        <v>232</v>
      </c>
      <c r="B3" s="164" t="s">
        <v>101</v>
      </c>
      <c r="C3" s="165" t="s">
        <v>233</v>
      </c>
      <c r="D3" s="166" t="s">
        <v>234</v>
      </c>
      <c r="E3" s="166" t="s">
        <v>235</v>
      </c>
      <c r="F3" s="166" t="s">
        <v>236</v>
      </c>
      <c r="G3" s="166" t="s">
        <v>237</v>
      </c>
      <c r="H3" s="166" t="s">
        <v>235</v>
      </c>
      <c r="I3" s="166" t="s">
        <v>236</v>
      </c>
      <c r="J3" s="166" t="s">
        <v>238</v>
      </c>
      <c r="K3" s="166" t="s">
        <v>235</v>
      </c>
      <c r="L3" s="166" t="s">
        <v>236</v>
      </c>
      <c r="M3" s="166" t="s">
        <v>239</v>
      </c>
      <c r="N3" s="166" t="s">
        <v>240</v>
      </c>
      <c r="O3" s="167" t="s">
        <v>241</v>
      </c>
      <c r="P3" s="130"/>
      <c r="Q3" s="130"/>
      <c r="R3" s="130"/>
      <c r="S3" s="130"/>
      <c r="T3" s="130"/>
      <c r="U3" s="130"/>
      <c r="V3" s="130"/>
      <c r="W3" s="130"/>
      <c r="X3" s="130"/>
      <c r="Y3" s="130"/>
      <c r="Z3" s="130"/>
      <c r="AA3" s="130"/>
    </row>
    <row r="4" ht="14.25" customHeight="1">
      <c r="A4" s="168" t="s">
        <v>105</v>
      </c>
      <c r="B4" s="169"/>
      <c r="C4" s="169"/>
      <c r="D4" s="169"/>
      <c r="E4" s="169"/>
      <c r="F4" s="169"/>
      <c r="G4" s="169"/>
      <c r="H4" s="169"/>
      <c r="I4" s="169"/>
      <c r="J4" s="169"/>
      <c r="K4" s="169"/>
      <c r="L4" s="169"/>
      <c r="M4" s="169"/>
      <c r="N4" s="169"/>
      <c r="O4" s="170"/>
      <c r="P4" s="130"/>
      <c r="Q4" s="130"/>
      <c r="R4" s="130"/>
      <c r="S4" s="130"/>
      <c r="T4" s="130"/>
      <c r="U4" s="130"/>
      <c r="V4" s="130"/>
      <c r="W4" s="130"/>
      <c r="X4" s="130"/>
      <c r="Y4" s="130"/>
      <c r="Z4" s="130"/>
      <c r="AA4" s="130"/>
    </row>
    <row r="5" ht="14.25" customHeight="1">
      <c r="A5" s="171" t="str">
        <f>IF('2. List of IROs'!C7="", "", '2. List of IROs'!C7)</f>
        <v>Impact E1-1</v>
      </c>
      <c r="B5" s="171" t="str">
        <f>'2. List of IROs'!B6</f>
        <v>Risk assessment</v>
      </c>
      <c r="C5" s="171" t="s">
        <v>242</v>
      </c>
      <c r="D5" s="171" t="s">
        <v>243</v>
      </c>
      <c r="E5" s="171">
        <f>IFERROR(VLOOKUP(D5,'Assignment Table'!$A$1:$B$6,2,FALSE),"")</f>
        <v>1</v>
      </c>
      <c r="F5" s="171">
        <f t="shared" ref="F5:F7" si="1">IF(OR(E5="", M5=""), "", E5*M5)</f>
        <v>1</v>
      </c>
      <c r="G5" s="171" t="s">
        <v>244</v>
      </c>
      <c r="H5" s="171">
        <f>IFERROR(VLOOKUP(G5,'Assignment Table'!$A$1:$K$6,2,FALSE),"")</f>
        <v>3</v>
      </c>
      <c r="I5" s="171">
        <f t="shared" ref="I5:I7" si="2">IF(OR(H5="", M5=""), "", H5*M5)</f>
        <v>3</v>
      </c>
      <c r="J5" s="171"/>
      <c r="K5" s="171" t="str">
        <f>IFERROR(VLOOKUP(J5,'Assignment Table'!$A$1:$K$6,2,FALSE),"")</f>
        <v/>
      </c>
      <c r="L5" s="171" t="str">
        <f t="shared" ref="L5:L7" si="3">IF(OR(K5="", M5=""), "", K5*M5)</f>
        <v/>
      </c>
      <c r="M5" s="171">
        <v>1.0</v>
      </c>
      <c r="N5" s="172" t="str">
        <f t="shared" ref="N5:N7" si="4">IF(OR(E5="", H5="", K5="", M5=""), "", IF(E5*H5*K5*M5=0, E5*H5*M5, E5*H5*K5*M5))</f>
        <v/>
      </c>
      <c r="O5" s="173" t="str">
        <f t="shared" ref="O5:O7" si="5">IF(OR(N5=""), "", IF(N5&gt;=1.5, "yes", "no"))</f>
        <v/>
      </c>
      <c r="P5" s="130"/>
      <c r="Q5" s="130"/>
      <c r="R5" s="130"/>
      <c r="S5" s="130"/>
      <c r="T5" s="130"/>
      <c r="U5" s="130"/>
      <c r="V5" s="130"/>
      <c r="W5" s="130"/>
      <c r="X5" s="130"/>
      <c r="Y5" s="130"/>
      <c r="Z5" s="130"/>
      <c r="AA5" s="130"/>
    </row>
    <row r="6" ht="14.25" customHeight="1">
      <c r="A6" s="171" t="str">
        <f>IF('2. List of IROs'!C6="", "", '2. List of IROs'!C6)</f>
        <v>Impact E1-2</v>
      </c>
      <c r="B6" s="171" t="str">
        <f>'2. List of IROs'!B7</f>
        <v>Carbon neutrality strategies</v>
      </c>
      <c r="C6" s="171" t="s">
        <v>245</v>
      </c>
      <c r="D6" s="171" t="s">
        <v>244</v>
      </c>
      <c r="E6" s="171">
        <f>IFERROR(VLOOKUP(D6,'Assignment Table'!$A$1:$B$6,2,FALSE),"")</f>
        <v>3</v>
      </c>
      <c r="F6" s="171">
        <f t="shared" si="1"/>
        <v>1.2</v>
      </c>
      <c r="G6" s="171" t="s">
        <v>246</v>
      </c>
      <c r="H6" s="171">
        <f>IFERROR(VLOOKUP(G6,'Assignment Table'!$A$1:$K$6,2,FALSE),"")</f>
        <v>2</v>
      </c>
      <c r="I6" s="171">
        <f t="shared" si="2"/>
        <v>0.8</v>
      </c>
      <c r="J6" s="171"/>
      <c r="K6" s="171" t="str">
        <f>IFERROR(VLOOKUP(J6,'Assignment Table'!$A$1:$K$6,2,FALSE),"")</f>
        <v/>
      </c>
      <c r="L6" s="171" t="str">
        <f t="shared" si="3"/>
        <v/>
      </c>
      <c r="M6" s="171">
        <v>0.4</v>
      </c>
      <c r="N6" s="172" t="str">
        <f t="shared" si="4"/>
        <v/>
      </c>
      <c r="O6" s="173" t="str">
        <f t="shared" si="5"/>
        <v/>
      </c>
      <c r="P6" s="130"/>
      <c r="Q6" s="130"/>
      <c r="R6" s="130"/>
      <c r="S6" s="130"/>
      <c r="T6" s="130"/>
      <c r="U6" s="130"/>
      <c r="V6" s="130"/>
      <c r="W6" s="130"/>
      <c r="X6" s="130"/>
      <c r="Y6" s="130"/>
      <c r="Z6" s="130"/>
      <c r="AA6" s="130"/>
    </row>
    <row r="7" ht="14.25" customHeight="1">
      <c r="A7" s="171" t="str">
        <f>IF('2. List of IROs'!C8="", "", '2. List of IROs'!C8)</f>
        <v>Impact E1-3</v>
      </c>
      <c r="B7" s="171" t="str">
        <f>'2. List of IROs'!B8</f>
        <v>Renewable energy sources</v>
      </c>
      <c r="C7" s="171" t="s">
        <v>247</v>
      </c>
      <c r="D7" s="171" t="s">
        <v>244</v>
      </c>
      <c r="E7" s="171">
        <f>IFERROR(VLOOKUP(D7,'Assignment Table'!$A$1:$B$6,2,FALSE),"")</f>
        <v>3</v>
      </c>
      <c r="F7" s="171">
        <f t="shared" si="1"/>
        <v>3</v>
      </c>
      <c r="G7" s="171" t="s">
        <v>243</v>
      </c>
      <c r="H7" s="171">
        <f>IFERROR(VLOOKUP(G7,'Assignment Table'!$A$1:$K$6,2,FALSE),"")</f>
        <v>1</v>
      </c>
      <c r="I7" s="171">
        <f t="shared" si="2"/>
        <v>1</v>
      </c>
      <c r="J7" s="171" t="s">
        <v>246</v>
      </c>
      <c r="K7" s="171">
        <f>IFERROR(VLOOKUP(J7,'Assignment Table'!$A$1:$K$6,2,FALSE),"")</f>
        <v>2</v>
      </c>
      <c r="L7" s="171">
        <f t="shared" si="3"/>
        <v>2</v>
      </c>
      <c r="M7" s="171">
        <v>1.0</v>
      </c>
      <c r="N7" s="172">
        <f t="shared" si="4"/>
        <v>6</v>
      </c>
      <c r="O7" s="173" t="str">
        <f t="shared" si="5"/>
        <v>yes</v>
      </c>
      <c r="P7" s="130"/>
      <c r="Q7" s="130"/>
      <c r="R7" s="130"/>
      <c r="S7" s="130"/>
      <c r="T7" s="130"/>
      <c r="U7" s="130"/>
      <c r="V7" s="130"/>
      <c r="W7" s="130"/>
      <c r="X7" s="130"/>
      <c r="Y7" s="130"/>
      <c r="Z7" s="130"/>
      <c r="AA7" s="130"/>
    </row>
    <row r="8" ht="14.25" customHeight="1">
      <c r="A8" s="168" t="s">
        <v>118</v>
      </c>
      <c r="B8" s="169"/>
      <c r="C8" s="169"/>
      <c r="D8" s="169"/>
      <c r="E8" s="169"/>
      <c r="F8" s="169"/>
      <c r="G8" s="169"/>
      <c r="H8" s="169"/>
      <c r="I8" s="169"/>
      <c r="J8" s="169"/>
      <c r="K8" s="169"/>
      <c r="L8" s="169"/>
      <c r="M8" s="169"/>
      <c r="N8" s="169"/>
      <c r="O8" s="170"/>
      <c r="P8" s="130"/>
      <c r="Q8" s="130"/>
      <c r="R8" s="130"/>
      <c r="S8" s="130"/>
      <c r="T8" s="130"/>
      <c r="U8" s="130"/>
      <c r="V8" s="130"/>
      <c r="W8" s="130"/>
      <c r="X8" s="130"/>
      <c r="Y8" s="130"/>
      <c r="Z8" s="130"/>
      <c r="AA8" s="130"/>
    </row>
    <row r="9" ht="14.25" customHeight="1">
      <c r="A9" s="171" t="str">
        <f>IF('2. List of IROs'!C10="","",'2. List of IROs'!C10)</f>
        <v>Impact E2-1</v>
      </c>
      <c r="B9" s="171" t="str">
        <f>'2. List of IROs'!B10</f>
        <v>Greenhouse gases</v>
      </c>
      <c r="C9" s="171" t="s">
        <v>248</v>
      </c>
      <c r="D9" s="171" t="s">
        <v>246</v>
      </c>
      <c r="E9" s="171">
        <f>IFERROR(VLOOKUP(D9,'Assignment Table'!$A$1:$B$6,2,FALSE),"")</f>
        <v>2</v>
      </c>
      <c r="F9" s="171">
        <f t="shared" ref="F9:F11" si="6">IF(OR(E9="", M9=""), "", E9*M9)</f>
        <v>0.6</v>
      </c>
      <c r="G9" s="171" t="s">
        <v>243</v>
      </c>
      <c r="H9" s="171">
        <f>IFERROR(VLOOKUP(G9,'Assignment Table'!$A$1:$K$6,2,FALSE),"")</f>
        <v>1</v>
      </c>
      <c r="I9" s="171">
        <f t="shared" ref="I9:I11" si="7">IF(OR(H9="", M9=""), "", H9*M9)</f>
        <v>0.3</v>
      </c>
      <c r="J9" s="171" t="s">
        <v>246</v>
      </c>
      <c r="K9" s="171">
        <f>IFERROR(VLOOKUP(J9,'Assignment Table'!$A$1:$K$6,2,FALSE),"")</f>
        <v>2</v>
      </c>
      <c r="L9" s="171">
        <f t="shared" ref="L9:L11" si="8">IF(OR(K9="", M9=""), "", K9*M9)</f>
        <v>0.6</v>
      </c>
      <c r="M9" s="171">
        <v>0.3</v>
      </c>
      <c r="N9" s="172">
        <f t="shared" ref="N9:N11" si="9">IF(OR(E9="", H9="", K9="", M9=""), "", IF(E9*H9*K9*M9=0, E9*H9*M9, E9*H9*K9*M9))</f>
        <v>1.2</v>
      </c>
      <c r="O9" s="173" t="str">
        <f t="shared" ref="O9:O11" si="10">IF(OR(N9=""), "", IF(N9&gt;=1.5, "yes", "no"))</f>
        <v>no</v>
      </c>
      <c r="P9" s="130"/>
      <c r="Q9" s="130"/>
      <c r="R9" s="130"/>
      <c r="S9" s="130"/>
      <c r="T9" s="130"/>
      <c r="U9" s="130"/>
      <c r="V9" s="130"/>
      <c r="W9" s="130"/>
      <c r="X9" s="130"/>
      <c r="Y9" s="130"/>
      <c r="Z9" s="130"/>
      <c r="AA9" s="130"/>
    </row>
    <row r="10" ht="14.25" customHeight="1">
      <c r="A10" s="174" t="str">
        <f>IF('2. List of IROs'!C11="","",'2. List of IROs'!C11)</f>
        <v>Impact E2-2</v>
      </c>
      <c r="B10" s="171" t="str">
        <f>'2. List of IROs'!B11</f>
        <v/>
      </c>
      <c r="C10" s="171" t="s">
        <v>247</v>
      </c>
      <c r="D10" s="171" t="s">
        <v>243</v>
      </c>
      <c r="E10" s="171">
        <f>IFERROR(VLOOKUP(D10,'Assignment Table'!$A$1:$B$6,2,FALSE),"")</f>
        <v>1</v>
      </c>
      <c r="F10" s="171">
        <f t="shared" si="6"/>
        <v>1</v>
      </c>
      <c r="G10" s="171" t="s">
        <v>246</v>
      </c>
      <c r="H10" s="171">
        <f>IFERROR(VLOOKUP(G10,'Assignment Table'!$A$1:$K$6,2,FALSE),"")</f>
        <v>2</v>
      </c>
      <c r="I10" s="171">
        <f t="shared" si="7"/>
        <v>2</v>
      </c>
      <c r="J10" s="171" t="s">
        <v>244</v>
      </c>
      <c r="K10" s="171">
        <f>IFERROR(VLOOKUP(J10,'Assignment Table'!$A$1:$K$6,2,FALSE),"")</f>
        <v>3</v>
      </c>
      <c r="L10" s="171">
        <f t="shared" si="8"/>
        <v>3</v>
      </c>
      <c r="M10" s="171">
        <v>1.0</v>
      </c>
      <c r="N10" s="172">
        <f t="shared" si="9"/>
        <v>6</v>
      </c>
      <c r="O10" s="173" t="str">
        <f t="shared" si="10"/>
        <v>yes</v>
      </c>
      <c r="P10" s="130"/>
      <c r="Q10" s="130"/>
      <c r="R10" s="130"/>
      <c r="S10" s="130"/>
      <c r="T10" s="130"/>
      <c r="U10" s="130"/>
      <c r="V10" s="130"/>
      <c r="W10" s="130"/>
      <c r="X10" s="130"/>
      <c r="Y10" s="130"/>
      <c r="Z10" s="130"/>
      <c r="AA10" s="130"/>
    </row>
    <row r="11" ht="14.25" customHeight="1">
      <c r="A11" s="175" t="str">
        <f>IF('2. List of IROs'!C12="","",'2. List of IROs'!C12)</f>
        <v>Impact E2-3</v>
      </c>
      <c r="B11" s="171" t="str">
        <f>'2. List of IROs'!B12</f>
        <v/>
      </c>
      <c r="C11" s="171" t="s">
        <v>245</v>
      </c>
      <c r="D11" s="171" t="s">
        <v>246</v>
      </c>
      <c r="E11" s="171">
        <f>IFERROR(VLOOKUP(D11,'Assignment Table'!$A$1:$B$6,2,FALSE),"")</f>
        <v>2</v>
      </c>
      <c r="F11" s="171" t="str">
        <f t="shared" si="6"/>
        <v/>
      </c>
      <c r="G11" s="171" t="s">
        <v>243</v>
      </c>
      <c r="H11" s="171">
        <f>IFERROR(VLOOKUP(G11,'Assignment Table'!$A$1:$K$6,2,FALSE),"")</f>
        <v>1</v>
      </c>
      <c r="I11" s="171" t="str">
        <f t="shared" si="7"/>
        <v/>
      </c>
      <c r="J11" s="176"/>
      <c r="K11" s="171" t="str">
        <f>IFERROR(VLOOKUP(J11,'Assignment Table'!$A$1:$K$6,2,FALSE),"")</f>
        <v/>
      </c>
      <c r="L11" s="171" t="str">
        <f t="shared" si="8"/>
        <v/>
      </c>
      <c r="M11" s="171"/>
      <c r="N11" s="172" t="str">
        <f t="shared" si="9"/>
        <v/>
      </c>
      <c r="O11" s="173" t="str">
        <f t="shared" si="10"/>
        <v/>
      </c>
      <c r="P11" s="130"/>
      <c r="Q11" s="130"/>
      <c r="R11" s="130"/>
      <c r="S11" s="130"/>
      <c r="T11" s="130"/>
      <c r="U11" s="130"/>
      <c r="V11" s="130"/>
      <c r="W11" s="130"/>
      <c r="X11" s="130"/>
      <c r="Y11" s="130"/>
      <c r="Z11" s="130"/>
      <c r="AA11" s="130"/>
    </row>
    <row r="12" ht="14.25" customHeight="1">
      <c r="A12" s="175" t="str">
        <f>IF('2. List of IROs'!C13="","",'2. List of IROs'!C13)</f>
        <v>Impact E2-4</v>
      </c>
      <c r="B12" s="171" t="str">
        <f>'2. List of IROs'!B13</f>
        <v/>
      </c>
      <c r="C12" s="171"/>
      <c r="D12" s="171"/>
      <c r="E12" s="171"/>
      <c r="F12" s="171"/>
      <c r="G12" s="171"/>
      <c r="H12" s="171"/>
      <c r="I12" s="171"/>
      <c r="J12" s="171"/>
      <c r="K12" s="171"/>
      <c r="L12" s="171"/>
      <c r="M12" s="171"/>
      <c r="N12" s="172"/>
      <c r="O12" s="173"/>
      <c r="P12" s="130"/>
      <c r="Q12" s="130"/>
      <c r="R12" s="130"/>
      <c r="S12" s="130"/>
      <c r="T12" s="130"/>
      <c r="U12" s="130"/>
      <c r="V12" s="130"/>
      <c r="W12" s="130"/>
      <c r="X12" s="130"/>
      <c r="Y12" s="130"/>
      <c r="Z12" s="130"/>
      <c r="AA12" s="130"/>
    </row>
    <row r="13" ht="14.25" customHeight="1">
      <c r="A13" s="175" t="str">
        <f>IF('2. List of IROs'!C14="","",'2. List of IROs'!C14)</f>
        <v>Impact E2-5</v>
      </c>
      <c r="B13" s="171" t="str">
        <f>'2. List of IROs'!B14</f>
        <v/>
      </c>
      <c r="C13" s="171"/>
      <c r="D13" s="171"/>
      <c r="E13" s="171"/>
      <c r="F13" s="171"/>
      <c r="G13" s="171"/>
      <c r="H13" s="171"/>
      <c r="I13" s="171"/>
      <c r="J13" s="171"/>
      <c r="K13" s="171"/>
      <c r="L13" s="171"/>
      <c r="M13" s="171"/>
      <c r="N13" s="172"/>
      <c r="O13" s="173"/>
      <c r="P13" s="130"/>
      <c r="Q13" s="130"/>
      <c r="R13" s="130"/>
      <c r="S13" s="130"/>
      <c r="T13" s="130"/>
      <c r="U13" s="130"/>
      <c r="V13" s="130"/>
      <c r="W13" s="130"/>
      <c r="X13" s="130"/>
      <c r="Y13" s="130"/>
      <c r="Z13" s="130"/>
      <c r="AA13" s="130"/>
    </row>
    <row r="14" ht="14.25" customHeight="1">
      <c r="A14" s="175" t="str">
        <f>IF('2. List of IROs'!C15="","",'2. List of IROs'!C15)</f>
        <v>Impact E2-6</v>
      </c>
      <c r="B14" s="171" t="str">
        <f>'2. List of IROs'!B15</f>
        <v/>
      </c>
      <c r="C14" s="171"/>
      <c r="D14" s="171"/>
      <c r="E14" s="171"/>
      <c r="F14" s="171"/>
      <c r="G14" s="171"/>
      <c r="H14" s="171"/>
      <c r="I14" s="171"/>
      <c r="J14" s="171"/>
      <c r="K14" s="171"/>
      <c r="L14" s="171"/>
      <c r="M14" s="171"/>
      <c r="N14" s="172"/>
      <c r="O14" s="173"/>
      <c r="P14" s="130"/>
      <c r="Q14" s="130"/>
      <c r="R14" s="130"/>
      <c r="S14" s="130"/>
      <c r="T14" s="130"/>
      <c r="U14" s="130"/>
      <c r="V14" s="130"/>
      <c r="W14" s="130"/>
      <c r="X14" s="130"/>
      <c r="Y14" s="130"/>
      <c r="Z14" s="130"/>
      <c r="AA14" s="130"/>
    </row>
    <row r="15" ht="14.25" customHeight="1">
      <c r="A15" s="171" t="str">
        <f>IF('2. List of IROs'!C16="","",'2. List of IROs'!C16)</f>
        <v>Impact E2-7</v>
      </c>
      <c r="B15" s="171" t="str">
        <f>'2. List of IROs'!B16</f>
        <v/>
      </c>
      <c r="C15" s="171"/>
      <c r="D15" s="171"/>
      <c r="E15" s="171"/>
      <c r="F15" s="171"/>
      <c r="G15" s="171"/>
      <c r="H15" s="171"/>
      <c r="I15" s="171"/>
      <c r="J15" s="171"/>
      <c r="K15" s="171"/>
      <c r="L15" s="171"/>
      <c r="M15" s="171"/>
      <c r="N15" s="172"/>
      <c r="O15" s="173"/>
      <c r="P15" s="130"/>
      <c r="Q15" s="130"/>
      <c r="R15" s="130"/>
      <c r="S15" s="130"/>
      <c r="T15" s="130"/>
      <c r="U15" s="130"/>
      <c r="V15" s="130"/>
      <c r="W15" s="130"/>
      <c r="X15" s="130"/>
      <c r="Y15" s="130"/>
      <c r="Z15" s="130"/>
      <c r="AA15" s="130"/>
    </row>
    <row r="16" ht="14.25" customHeight="1">
      <c r="A16" s="168" t="s">
        <v>141</v>
      </c>
      <c r="B16" s="169"/>
      <c r="C16" s="169"/>
      <c r="D16" s="169"/>
      <c r="E16" s="169"/>
      <c r="F16" s="169"/>
      <c r="G16" s="169"/>
      <c r="H16" s="169"/>
      <c r="I16" s="169"/>
      <c r="J16" s="169"/>
      <c r="K16" s="169"/>
      <c r="L16" s="169"/>
      <c r="M16" s="169"/>
      <c r="N16" s="169"/>
      <c r="O16" s="170"/>
      <c r="P16" s="130"/>
      <c r="Q16" s="130"/>
      <c r="R16" s="130"/>
      <c r="S16" s="130"/>
      <c r="T16" s="130"/>
      <c r="U16" s="130"/>
      <c r="V16" s="130"/>
      <c r="W16" s="130"/>
      <c r="X16" s="130"/>
      <c r="Y16" s="130"/>
      <c r="Z16" s="130"/>
      <c r="AA16" s="130"/>
    </row>
    <row r="17" ht="14.25" customHeight="1">
      <c r="A17" s="171" t="str">
        <f>IF('2. List of IROs'!C18="","",'2. List of IROs'!C18)</f>
        <v>Impact E3-1</v>
      </c>
      <c r="B17" s="171" t="str">
        <f>'2. List of IROs'!B18</f>
        <v/>
      </c>
      <c r="C17" s="171"/>
      <c r="D17" s="171"/>
      <c r="E17" s="171" t="str">
        <f>IFERROR(VLOOKUP(D17,'Assignment Table'!$A$1:$B$6,2,FALSE),"")</f>
        <v/>
      </c>
      <c r="F17" s="171" t="str">
        <f t="shared" ref="F17:F18" si="11">IF(OR(E17="", M17=""), "", E17*M17)</f>
        <v/>
      </c>
      <c r="G17" s="171"/>
      <c r="H17" s="171" t="str">
        <f>IFERROR(VLOOKUP(G17,'Assignment Table'!$A$1:$K$6,2,FALSE),"")</f>
        <v/>
      </c>
      <c r="I17" s="171" t="str">
        <f t="shared" ref="I17:I18" si="12">IF(OR(H17="", M17=""), "", H17*M17)</f>
        <v/>
      </c>
      <c r="J17" s="171"/>
      <c r="K17" s="171" t="str">
        <f>IFERROR(VLOOKUP(J17,'Assignment Table'!$A$1:$K$6,2,FALSE),"")</f>
        <v/>
      </c>
      <c r="L17" s="171" t="str">
        <f t="shared" ref="L17:L18" si="13">IF(OR(K17="", M17=""), "", K17*M17)</f>
        <v/>
      </c>
      <c r="M17" s="171"/>
      <c r="N17" s="172" t="str">
        <f t="shared" ref="N17:N18" si="14">IF(OR(E17="", H17="", K17="", M17=""), "", IF(E17*H17*K17*M17=0, E17*H17*M17, E17*H17*K17*M17))</f>
        <v/>
      </c>
      <c r="O17" s="173" t="str">
        <f t="shared" ref="O17:O18" si="15">IF(OR(N17=""), "", IF(N17&gt;=1.5, "yes", "no"))</f>
        <v/>
      </c>
      <c r="P17" s="130"/>
      <c r="Q17" s="130"/>
      <c r="R17" s="130"/>
      <c r="S17" s="130"/>
      <c r="T17" s="130"/>
      <c r="U17" s="130"/>
      <c r="V17" s="130"/>
      <c r="W17" s="130"/>
      <c r="X17" s="130"/>
      <c r="Y17" s="130"/>
      <c r="Z17" s="130"/>
      <c r="AA17" s="130"/>
    </row>
    <row r="18" ht="14.25" customHeight="1">
      <c r="A18" s="171" t="str">
        <f>IF('2. List of IROs'!C19="","",'2. List of IROs'!C19)</f>
        <v>Impact E3-2</v>
      </c>
      <c r="B18" s="171" t="str">
        <f>'2. List of IROs'!B19</f>
        <v/>
      </c>
      <c r="C18" s="171"/>
      <c r="D18" s="171"/>
      <c r="E18" s="171" t="str">
        <f>IFERROR(VLOOKUP(D18,'Assignment Table'!$A$1:$B$6,2,FALSE),"")</f>
        <v/>
      </c>
      <c r="F18" s="171" t="str">
        <f t="shared" si="11"/>
        <v/>
      </c>
      <c r="G18" s="171"/>
      <c r="H18" s="171" t="str">
        <f>IFERROR(VLOOKUP(G18,'Assignment Table'!$A$1:$K$6,2,FALSE),"")</f>
        <v/>
      </c>
      <c r="I18" s="171" t="str">
        <f t="shared" si="12"/>
        <v/>
      </c>
      <c r="J18" s="171"/>
      <c r="K18" s="171" t="str">
        <f>IFERROR(VLOOKUP(J18,'Assignment Table'!$A$1:$K$6,2,FALSE),"")</f>
        <v/>
      </c>
      <c r="L18" s="171" t="str">
        <f t="shared" si="13"/>
        <v/>
      </c>
      <c r="M18" s="171"/>
      <c r="N18" s="172" t="str">
        <f t="shared" si="14"/>
        <v/>
      </c>
      <c r="O18" s="173" t="str">
        <f t="shared" si="15"/>
        <v/>
      </c>
      <c r="P18" s="130"/>
      <c r="Q18" s="130"/>
      <c r="R18" s="130"/>
      <c r="S18" s="130"/>
      <c r="T18" s="130"/>
      <c r="U18" s="130"/>
      <c r="V18" s="130"/>
      <c r="W18" s="130"/>
      <c r="X18" s="130"/>
      <c r="Y18" s="130"/>
      <c r="Z18" s="130"/>
      <c r="AA18" s="130"/>
    </row>
    <row r="19" ht="14.25" customHeight="1">
      <c r="A19" s="168" t="s">
        <v>148</v>
      </c>
      <c r="B19" s="169"/>
      <c r="C19" s="169"/>
      <c r="D19" s="169"/>
      <c r="E19" s="169"/>
      <c r="F19" s="169"/>
      <c r="G19" s="169"/>
      <c r="H19" s="169"/>
      <c r="I19" s="169"/>
      <c r="J19" s="169"/>
      <c r="K19" s="169"/>
      <c r="L19" s="169"/>
      <c r="M19" s="169"/>
      <c r="N19" s="169"/>
      <c r="O19" s="170"/>
      <c r="P19" s="130"/>
      <c r="Q19" s="130"/>
      <c r="R19" s="130"/>
      <c r="S19" s="130"/>
      <c r="T19" s="130"/>
      <c r="U19" s="130"/>
      <c r="V19" s="130"/>
      <c r="W19" s="130"/>
      <c r="X19" s="130"/>
      <c r="Y19" s="130"/>
      <c r="Z19" s="130"/>
      <c r="AA19" s="130"/>
    </row>
    <row r="20" ht="14.25" customHeight="1">
      <c r="A20" s="171" t="str">
        <f>IF('2. List of IROs'!C21="","",'2. List of IROs'!C21)</f>
        <v>Impact E4-1</v>
      </c>
      <c r="B20" s="171" t="str">
        <f>'2. List of IROs'!B21</f>
        <v/>
      </c>
      <c r="C20" s="171"/>
      <c r="D20" s="171"/>
      <c r="E20" s="171" t="str">
        <f>IFERROR(VLOOKUP(D20,'Assignment Table'!$A$1:$B$6,2,FALSE),"")</f>
        <v/>
      </c>
      <c r="F20" s="171" t="str">
        <f t="shared" ref="F20:F22" si="16">IF(OR(E20="", M20=""), "", E20*M20)</f>
        <v/>
      </c>
      <c r="G20" s="171"/>
      <c r="H20" s="171" t="str">
        <f>IFERROR(VLOOKUP(G20,'Assignment Table'!$A$1:$K$6,2,FALSE),"")</f>
        <v/>
      </c>
      <c r="I20" s="171" t="str">
        <f t="shared" ref="I20:I22" si="17">IF(OR(H20="", M20=""), "", H20*M20)</f>
        <v/>
      </c>
      <c r="J20" s="171"/>
      <c r="K20" s="171" t="str">
        <f>IFERROR(VLOOKUP(J20,'Assignment Table'!$A$1:$K$6,2,FALSE),"")</f>
        <v/>
      </c>
      <c r="L20" s="171" t="str">
        <f t="shared" ref="L20:L22" si="18">IF(OR(K20="", M20=""), "", K20*M20)</f>
        <v/>
      </c>
      <c r="M20" s="171"/>
      <c r="N20" s="172" t="str">
        <f t="shared" ref="N20:N22" si="19">IF(OR(E20="", H20="", K20="", M20=""), "", IF(E20*H20*K20*M20=0, E20*H20*M20, E20*H20*K20*M20))</f>
        <v/>
      </c>
      <c r="O20" s="173" t="str">
        <f t="shared" ref="O20:O22" si="20">IF(OR(N20=""), "", IF(N20&gt;=1.5, "yes", "no"))</f>
        <v/>
      </c>
      <c r="P20" s="130"/>
      <c r="Q20" s="130"/>
      <c r="R20" s="130"/>
      <c r="S20" s="130"/>
      <c r="T20" s="130"/>
      <c r="U20" s="130"/>
      <c r="V20" s="130"/>
      <c r="W20" s="130"/>
      <c r="X20" s="130"/>
      <c r="Y20" s="130"/>
      <c r="Z20" s="130"/>
      <c r="AA20" s="130"/>
    </row>
    <row r="21" ht="14.25" customHeight="1">
      <c r="A21" s="177" t="str">
        <f>IF('2. List of IROs'!C22="","",'2. List of IROs'!C22)</f>
        <v>Impact E4-2</v>
      </c>
      <c r="B21" s="171" t="str">
        <f>'2. List of IROs'!B22</f>
        <v/>
      </c>
      <c r="C21" s="171"/>
      <c r="D21" s="171"/>
      <c r="E21" s="171" t="str">
        <f>IFERROR(VLOOKUP(D21,'Assignment Table'!$A$1:$B$6,2,FALSE),"")</f>
        <v/>
      </c>
      <c r="F21" s="171" t="str">
        <f t="shared" si="16"/>
        <v/>
      </c>
      <c r="G21" s="171"/>
      <c r="H21" s="171" t="str">
        <f>IFERROR(VLOOKUP(G21,'Assignment Table'!$A$1:$K$6,2,FALSE),"")</f>
        <v/>
      </c>
      <c r="I21" s="171" t="str">
        <f t="shared" si="17"/>
        <v/>
      </c>
      <c r="J21" s="171"/>
      <c r="K21" s="171" t="str">
        <f>IFERROR(VLOOKUP(J21,'Assignment Table'!$A$1:$K$6,2,FALSE),"")</f>
        <v/>
      </c>
      <c r="L21" s="171" t="str">
        <f t="shared" si="18"/>
        <v/>
      </c>
      <c r="M21" s="171"/>
      <c r="N21" s="172" t="str">
        <f t="shared" si="19"/>
        <v/>
      </c>
      <c r="O21" s="173" t="str">
        <f t="shared" si="20"/>
        <v/>
      </c>
      <c r="P21" s="130"/>
      <c r="Q21" s="130"/>
      <c r="R21" s="130"/>
      <c r="S21" s="130"/>
      <c r="T21" s="130"/>
      <c r="U21" s="130"/>
      <c r="V21" s="130"/>
      <c r="W21" s="130"/>
      <c r="X21" s="130"/>
      <c r="Y21" s="130"/>
      <c r="Z21" s="130"/>
      <c r="AA21" s="130"/>
    </row>
    <row r="22" ht="14.25" customHeight="1">
      <c r="A22" s="171" t="str">
        <f>IF('2. List of IROs'!C23="","",'2. List of IROs'!C23)</f>
        <v>Impact E4-3</v>
      </c>
      <c r="B22" s="171" t="str">
        <f>'2. List of IROs'!B23</f>
        <v/>
      </c>
      <c r="C22" s="171"/>
      <c r="D22" s="171"/>
      <c r="E22" s="171" t="str">
        <f>IFERROR(VLOOKUP(D22,'Assignment Table'!$A$1:$B$6,2,FALSE),"")</f>
        <v/>
      </c>
      <c r="F22" s="171" t="str">
        <f t="shared" si="16"/>
        <v/>
      </c>
      <c r="G22" s="171"/>
      <c r="H22" s="171" t="str">
        <f>IFERROR(VLOOKUP(G22,'Assignment Table'!$A$1:$K$6,2,FALSE),"")</f>
        <v/>
      </c>
      <c r="I22" s="171" t="str">
        <f t="shared" si="17"/>
        <v/>
      </c>
      <c r="J22" s="171"/>
      <c r="K22" s="171" t="str">
        <f>IFERROR(VLOOKUP(J22,'Assignment Table'!$A$1:$K$6,2,FALSE),"")</f>
        <v/>
      </c>
      <c r="L22" s="171" t="str">
        <f t="shared" si="18"/>
        <v/>
      </c>
      <c r="M22" s="171"/>
      <c r="N22" s="172" t="str">
        <f t="shared" si="19"/>
        <v/>
      </c>
      <c r="O22" s="173" t="str">
        <f t="shared" si="20"/>
        <v/>
      </c>
      <c r="P22" s="130"/>
      <c r="Q22" s="130"/>
      <c r="R22" s="130"/>
      <c r="S22" s="130"/>
      <c r="T22" s="130"/>
      <c r="U22" s="130"/>
      <c r="V22" s="130"/>
      <c r="W22" s="130"/>
      <c r="X22" s="130"/>
      <c r="Y22" s="130"/>
      <c r="Z22" s="130"/>
      <c r="AA22" s="130"/>
    </row>
    <row r="23" ht="14.25" customHeight="1">
      <c r="A23" s="168" t="s">
        <v>160</v>
      </c>
      <c r="B23" s="169"/>
      <c r="C23" s="169"/>
      <c r="D23" s="169"/>
      <c r="E23" s="169"/>
      <c r="F23" s="169"/>
      <c r="G23" s="169"/>
      <c r="H23" s="169"/>
      <c r="I23" s="169"/>
      <c r="J23" s="169"/>
      <c r="K23" s="169"/>
      <c r="L23" s="169"/>
      <c r="M23" s="169"/>
      <c r="N23" s="169"/>
      <c r="O23" s="170"/>
      <c r="P23" s="130"/>
      <c r="Q23" s="130"/>
      <c r="R23" s="130"/>
      <c r="S23" s="130"/>
      <c r="T23" s="130"/>
      <c r="U23" s="130"/>
      <c r="V23" s="130"/>
      <c r="W23" s="130"/>
      <c r="X23" s="130"/>
      <c r="Y23" s="130"/>
      <c r="Z23" s="130"/>
      <c r="AA23" s="130"/>
    </row>
    <row r="24" ht="14.25" customHeight="1">
      <c r="A24" s="171" t="str">
        <f>IF('2. List of IROs'!C26="","",'2. List of IROs'!C26)</f>
        <v>Impact E5-1</v>
      </c>
      <c r="B24" s="171" t="str">
        <f>'2. List of IROs'!B25</f>
        <v/>
      </c>
      <c r="C24" s="171"/>
      <c r="D24" s="171"/>
      <c r="E24" s="171" t="str">
        <f>IFERROR(VLOOKUP(D24,'Assignment Table'!$A$1:$B$6,2,FALSE),"")</f>
        <v/>
      </c>
      <c r="F24" s="171" t="str">
        <f t="shared" ref="F24:F26" si="21">IF(OR(E24="", M24=""), "", E24*M24)</f>
        <v/>
      </c>
      <c r="G24" s="171"/>
      <c r="H24" s="171" t="str">
        <f>IFERROR(VLOOKUP(G24,'Assignment Table'!$A$1:$K$6,2,FALSE),"")</f>
        <v/>
      </c>
      <c r="I24" s="171" t="str">
        <f t="shared" ref="I24:I26" si="22">IF(OR(H24="", M24=""), "", H24*M24)</f>
        <v/>
      </c>
      <c r="J24" s="171"/>
      <c r="K24" s="171" t="str">
        <f>IFERROR(VLOOKUP(J24,'Assignment Table'!$A$1:$K$6,2,FALSE),"")</f>
        <v/>
      </c>
      <c r="L24" s="171" t="str">
        <f t="shared" ref="L24:L26" si="23">IF(OR(K24="", M24=""), "", K24*M24)</f>
        <v/>
      </c>
      <c r="M24" s="171"/>
      <c r="N24" s="172" t="str">
        <f t="shared" ref="N24:N26" si="24">IF(OR(E24="", H24="", K24="", M24=""), "", IF(E24*H24*K24*M24=0, E24*H24*M24, E24*H24*K24*M24))</f>
        <v/>
      </c>
      <c r="O24" s="173" t="str">
        <f t="shared" ref="O24:O26" si="25">IF(OR(N24=""), "", IF(N24&gt;=1.5, "yes", "no"))</f>
        <v/>
      </c>
      <c r="P24" s="130"/>
      <c r="Q24" s="130"/>
      <c r="R24" s="130"/>
      <c r="S24" s="130"/>
      <c r="T24" s="130"/>
      <c r="U24" s="130"/>
      <c r="V24" s="130"/>
      <c r="W24" s="130"/>
      <c r="X24" s="130"/>
      <c r="Y24" s="130"/>
      <c r="Z24" s="130"/>
      <c r="AA24" s="130"/>
    </row>
    <row r="25" ht="14.25" customHeight="1">
      <c r="A25" s="177" t="str">
        <f>IF('2. List of IROs'!C27="","",'2. List of IROs'!C27)</f>
        <v>Impact E5-2</v>
      </c>
      <c r="B25" s="171" t="str">
        <f>'2. List of IROs'!B26</f>
        <v/>
      </c>
      <c r="C25" s="171"/>
      <c r="D25" s="171"/>
      <c r="E25" s="171" t="str">
        <f>IFERROR(VLOOKUP(D25,'Assignment Table'!$A$1:$B$6,2,FALSE),"")</f>
        <v/>
      </c>
      <c r="F25" s="171" t="str">
        <f t="shared" si="21"/>
        <v/>
      </c>
      <c r="G25" s="171"/>
      <c r="H25" s="171" t="str">
        <f>IFERROR(VLOOKUP(G25,'Assignment Table'!$A$1:$K$6,2,FALSE),"")</f>
        <v/>
      </c>
      <c r="I25" s="171" t="str">
        <f t="shared" si="22"/>
        <v/>
      </c>
      <c r="J25" s="171"/>
      <c r="K25" s="171" t="str">
        <f>IFERROR(VLOOKUP(J25,'Assignment Table'!$A$1:$K$6,2,FALSE),"")</f>
        <v/>
      </c>
      <c r="L25" s="171" t="str">
        <f t="shared" si="23"/>
        <v/>
      </c>
      <c r="M25" s="171"/>
      <c r="N25" s="172" t="str">
        <f t="shared" si="24"/>
        <v/>
      </c>
      <c r="O25" s="173" t="str">
        <f t="shared" si="25"/>
        <v/>
      </c>
      <c r="P25" s="130"/>
      <c r="Q25" s="130"/>
      <c r="R25" s="130"/>
      <c r="S25" s="130"/>
      <c r="T25" s="130"/>
      <c r="U25" s="130"/>
      <c r="V25" s="130"/>
      <c r="W25" s="130"/>
      <c r="X25" s="130"/>
      <c r="Y25" s="130"/>
      <c r="Z25" s="130"/>
      <c r="AA25" s="130"/>
    </row>
    <row r="26" ht="14.25" customHeight="1">
      <c r="A26" s="178" t="str">
        <f>IF('2. List of IROs'!C28="","",'2. List of IROs'!C28)</f>
        <v>Impact E5-3</v>
      </c>
      <c r="B26" s="179" t="str">
        <f>'2. List of IROs'!B27</f>
        <v/>
      </c>
      <c r="C26" s="179"/>
      <c r="D26" s="179"/>
      <c r="E26" s="179" t="str">
        <f>IFERROR(VLOOKUP(D26,'Assignment Table'!$A$1:$B$6,2,FALSE),"")</f>
        <v/>
      </c>
      <c r="F26" s="179" t="str">
        <f t="shared" si="21"/>
        <v/>
      </c>
      <c r="G26" s="179"/>
      <c r="H26" s="179" t="str">
        <f>IFERROR(VLOOKUP(G26,'Assignment Table'!$A$1:$K$6,2,FALSE),"")</f>
        <v/>
      </c>
      <c r="I26" s="179" t="str">
        <f t="shared" si="22"/>
        <v/>
      </c>
      <c r="J26" s="179"/>
      <c r="K26" s="179" t="str">
        <f>IFERROR(VLOOKUP(J26,'Assignment Table'!$A$1:$K$6,2,FALSE),"")</f>
        <v/>
      </c>
      <c r="L26" s="179" t="str">
        <f t="shared" si="23"/>
        <v/>
      </c>
      <c r="M26" s="179"/>
      <c r="N26" s="180" t="str">
        <f t="shared" si="24"/>
        <v/>
      </c>
      <c r="O26" s="181" t="str">
        <f t="shared" si="25"/>
        <v/>
      </c>
      <c r="P26" s="130"/>
      <c r="Q26" s="130"/>
      <c r="R26" s="130"/>
      <c r="S26" s="130"/>
      <c r="T26" s="130"/>
      <c r="U26" s="130"/>
      <c r="V26" s="130"/>
      <c r="W26" s="130"/>
      <c r="X26" s="130"/>
      <c r="Y26" s="130"/>
      <c r="Z26" s="130"/>
      <c r="AA26" s="130"/>
    </row>
    <row r="27" ht="14.2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row>
    <row r="28" ht="14.25" customHeight="1">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row>
    <row r="29" ht="14.25" customHeight="1">
      <c r="A29" s="182" t="s">
        <v>249</v>
      </c>
      <c r="B29" s="183" t="s">
        <v>101</v>
      </c>
      <c r="C29" s="184"/>
      <c r="D29" s="185" t="s">
        <v>250</v>
      </c>
      <c r="E29" s="185" t="s">
        <v>235</v>
      </c>
      <c r="F29" s="185"/>
      <c r="G29" s="185" t="s">
        <v>251</v>
      </c>
      <c r="H29" s="185" t="s">
        <v>235</v>
      </c>
      <c r="I29" s="185"/>
      <c r="J29" s="185"/>
      <c r="K29" s="185"/>
      <c r="L29" s="185"/>
      <c r="M29" s="186"/>
      <c r="N29" s="185" t="s">
        <v>252</v>
      </c>
      <c r="O29" s="187" t="s">
        <v>241</v>
      </c>
      <c r="P29" s="130"/>
      <c r="Q29" s="130"/>
      <c r="R29" s="130"/>
      <c r="S29" s="130"/>
      <c r="T29" s="130"/>
      <c r="U29" s="130"/>
      <c r="V29" s="130"/>
      <c r="W29" s="130"/>
      <c r="X29" s="130"/>
      <c r="Y29" s="130"/>
      <c r="Z29" s="130"/>
      <c r="AA29" s="130"/>
    </row>
    <row r="30" ht="14.25" customHeight="1">
      <c r="A30" s="188" t="s">
        <v>105</v>
      </c>
      <c r="B30" s="189"/>
      <c r="C30" s="189"/>
      <c r="D30" s="189"/>
      <c r="E30" s="189"/>
      <c r="F30" s="189"/>
      <c r="G30" s="189"/>
      <c r="H30" s="189"/>
      <c r="I30" s="189"/>
      <c r="J30" s="189"/>
      <c r="K30" s="189"/>
      <c r="L30" s="189"/>
      <c r="M30" s="189"/>
      <c r="N30" s="189"/>
      <c r="O30" s="190"/>
      <c r="P30" s="130"/>
      <c r="Q30" s="130"/>
      <c r="R30" s="130"/>
      <c r="S30" s="130"/>
      <c r="T30" s="130"/>
      <c r="U30" s="130"/>
      <c r="V30" s="130"/>
      <c r="W30" s="130"/>
      <c r="X30" s="130"/>
      <c r="Y30" s="130"/>
      <c r="Z30" s="130"/>
      <c r="AA30" s="130"/>
    </row>
    <row r="31" ht="14.25" customHeight="1">
      <c r="A31" s="177" t="str">
        <f>IF('2. List of IROs'!D7="","",'2. List of IROs'!D7)</f>
        <v>Risk E1-1</v>
      </c>
      <c r="B31" s="191" t="str">
        <f t="shared" ref="B31:B33" si="26">B5</f>
        <v>Risk assessment</v>
      </c>
      <c r="C31" s="192"/>
      <c r="D31" s="171" t="s">
        <v>253</v>
      </c>
      <c r="E31" s="171">
        <f>IFERROR(VLOOKUP(D31,'Assignment Table'!$A$15:$B$23,2,FALSE),"")</f>
        <v>4</v>
      </c>
      <c r="F31" s="171"/>
      <c r="G31" s="171" t="s">
        <v>246</v>
      </c>
      <c r="H31" s="193">
        <f>IFERROR(VLOOKUP(G31,'Assignment Table'!$A$27:$B$35,2,FALSE),"")</f>
        <v>5</v>
      </c>
      <c r="I31" s="193"/>
      <c r="J31" s="192"/>
      <c r="K31" s="194" t="str">
        <f>IFERROR(E31*G31,"")</f>
        <v/>
      </c>
      <c r="L31" s="192"/>
      <c r="M31" s="192"/>
      <c r="N31" s="171">
        <f t="shared" ref="N31:N36" si="27">IF(OR(E31="", H31=""), "", E31*H31)</f>
        <v>20</v>
      </c>
      <c r="O31" s="173" t="str">
        <f t="shared" ref="O31:O36" si="28">IF(OR(E31="", H31=""), "", IF(E31*H31 &gt;=20, "yes", IF(E31*H31 &lt;20, "no", "")))</f>
        <v>yes</v>
      </c>
      <c r="P31" s="130"/>
      <c r="Q31" s="130"/>
      <c r="R31" s="130"/>
      <c r="S31" s="130"/>
      <c r="T31" s="130"/>
      <c r="U31" s="130"/>
      <c r="V31" s="130"/>
      <c r="W31" s="130"/>
      <c r="X31" s="130"/>
      <c r="Y31" s="130"/>
      <c r="Z31" s="130"/>
      <c r="AA31" s="130"/>
    </row>
    <row r="32" ht="14.25" customHeight="1">
      <c r="A32" s="177" t="str">
        <f>IF('2. List of IROs'!D6="","",'2. List of IROs'!D6)</f>
        <v>Risk E1-2</v>
      </c>
      <c r="B32" s="191" t="str">
        <f t="shared" si="26"/>
        <v>Carbon neutrality strategies</v>
      </c>
      <c r="C32" s="192"/>
      <c r="D32" s="171" t="s">
        <v>254</v>
      </c>
      <c r="E32" s="171">
        <f>IFERROR(VLOOKUP(D32,'Assignment Table'!$A$15:$B$23,2,FALSE),"")</f>
        <v>5</v>
      </c>
      <c r="F32" s="171"/>
      <c r="G32" s="171" t="s">
        <v>246</v>
      </c>
      <c r="H32" s="193">
        <f>IFERROR(VLOOKUP(G32,'Assignment Table'!$A$27:$B$35,2,FALSE),"")</f>
        <v>5</v>
      </c>
      <c r="I32" s="193"/>
      <c r="J32" s="192"/>
      <c r="K32" s="194" t="str">
        <f>IFERROR(E32*G34,"")</f>
        <v/>
      </c>
      <c r="L32" s="192"/>
      <c r="M32" s="192"/>
      <c r="N32" s="171">
        <f t="shared" si="27"/>
        <v>25</v>
      </c>
      <c r="O32" s="173" t="str">
        <f t="shared" si="28"/>
        <v>yes</v>
      </c>
      <c r="P32" s="130"/>
      <c r="Q32" s="130"/>
      <c r="R32" s="130"/>
      <c r="S32" s="130"/>
      <c r="T32" s="130"/>
      <c r="U32" s="130"/>
      <c r="V32" s="130"/>
      <c r="W32" s="130"/>
      <c r="X32" s="130"/>
      <c r="Y32" s="130"/>
      <c r="Z32" s="130"/>
      <c r="AA32" s="130"/>
    </row>
    <row r="33" ht="14.25" customHeight="1">
      <c r="A33" s="177" t="str">
        <f>IF('2. List of IROs'!D8="","",'2. List of IROs'!D8)</f>
        <v>Risk E1-3</v>
      </c>
      <c r="B33" s="191" t="str">
        <f t="shared" si="26"/>
        <v>Renewable energy sources</v>
      </c>
      <c r="C33" s="192"/>
      <c r="D33" s="195" t="s">
        <v>255</v>
      </c>
      <c r="E33" s="171">
        <f>IFERROR(VLOOKUP(D33,'Assignment Table'!$A$15:$B$23,2,FALSE),"")</f>
        <v>2</v>
      </c>
      <c r="F33" s="171"/>
      <c r="G33" s="171" t="s">
        <v>244</v>
      </c>
      <c r="H33" s="193">
        <f>IFERROR(VLOOKUP(G33,'Assignment Table'!$A$27:$B$35,2,FALSE),"")</f>
        <v>6</v>
      </c>
      <c r="I33" s="193"/>
      <c r="J33" s="192"/>
      <c r="K33" s="194"/>
      <c r="L33" s="192"/>
      <c r="M33" s="192"/>
      <c r="N33" s="171">
        <f t="shared" si="27"/>
        <v>12</v>
      </c>
      <c r="O33" s="173" t="str">
        <f t="shared" si="28"/>
        <v>no</v>
      </c>
      <c r="P33" s="130"/>
      <c r="Q33" s="130"/>
      <c r="R33" s="130"/>
      <c r="S33" s="130"/>
      <c r="T33" s="130"/>
      <c r="U33" s="130"/>
      <c r="V33" s="130"/>
      <c r="W33" s="130"/>
      <c r="X33" s="130"/>
      <c r="Y33" s="130"/>
      <c r="Z33" s="130"/>
      <c r="AA33" s="130"/>
    </row>
    <row r="34" ht="14.25" customHeight="1">
      <c r="A34" s="177" t="str">
        <f>IF('2. List of IROs'!E7="","",'2. List of IROs'!E7)</f>
        <v>Opportunity E1-1</v>
      </c>
      <c r="B34" s="191" t="str">
        <f t="shared" ref="B34:B36" si="29">B31</f>
        <v>Risk assessment</v>
      </c>
      <c r="C34" s="192"/>
      <c r="D34" s="171" t="s">
        <v>254</v>
      </c>
      <c r="E34" s="171">
        <f>IFERROR(VLOOKUP(D34,'Assignment Table'!$A$15:$B$23,2,FALSE),"")</f>
        <v>5</v>
      </c>
      <c r="F34" s="171"/>
      <c r="G34" s="171" t="s">
        <v>244</v>
      </c>
      <c r="H34" s="193">
        <f>IFERROR(VLOOKUP(G34,'Assignment Table'!$A$27:$B$35,2,FALSE),"")</f>
        <v>6</v>
      </c>
      <c r="I34" s="193"/>
      <c r="J34" s="192"/>
      <c r="K34" s="194" t="str">
        <f>IFERROR(E34*#REF!,"")</f>
        <v/>
      </c>
      <c r="L34" s="192"/>
      <c r="M34" s="192"/>
      <c r="N34" s="171">
        <f t="shared" si="27"/>
        <v>30</v>
      </c>
      <c r="O34" s="173" t="str">
        <f t="shared" si="28"/>
        <v>yes</v>
      </c>
      <c r="P34" s="130"/>
      <c r="Q34" s="130"/>
      <c r="R34" s="130"/>
      <c r="S34" s="130"/>
      <c r="T34" s="130"/>
      <c r="U34" s="130"/>
      <c r="V34" s="130"/>
      <c r="W34" s="130"/>
      <c r="X34" s="130"/>
      <c r="Y34" s="130"/>
      <c r="Z34" s="130"/>
      <c r="AA34" s="130"/>
    </row>
    <row r="35" ht="14.25" customHeight="1">
      <c r="A35" s="177" t="str">
        <f>IF('2. List of IROs'!E6="","",'2. List of IROs'!E6)</f>
        <v>Opportunity E1-2</v>
      </c>
      <c r="B35" s="191" t="str">
        <f t="shared" si="29"/>
        <v>Carbon neutrality strategies</v>
      </c>
      <c r="C35" s="192"/>
      <c r="D35" s="171" t="s">
        <v>256</v>
      </c>
      <c r="E35" s="171">
        <f>IFERROR(VLOOKUP(D35,'Assignment Table'!$A$15:$B$23,2,FALSE),"")</f>
        <v>3</v>
      </c>
      <c r="F35" s="171"/>
      <c r="G35" s="171" t="s">
        <v>257</v>
      </c>
      <c r="H35" s="193">
        <f>IFERROR(VLOOKUP(G35,'Assignment Table'!$A$27:$B$35,2,FALSE),"")</f>
        <v>4</v>
      </c>
      <c r="I35" s="193"/>
      <c r="J35" s="192"/>
      <c r="K35" s="194" t="str">
        <f>IFERROR(E35*G35,"")</f>
        <v/>
      </c>
      <c r="L35" s="192"/>
      <c r="M35" s="192"/>
      <c r="N35" s="171">
        <f t="shared" si="27"/>
        <v>12</v>
      </c>
      <c r="O35" s="173" t="str">
        <f t="shared" si="28"/>
        <v>no</v>
      </c>
      <c r="P35" s="130"/>
      <c r="Q35" s="130"/>
      <c r="R35" s="130"/>
      <c r="S35" s="130"/>
      <c r="T35" s="130"/>
      <c r="U35" s="130"/>
      <c r="V35" s="130"/>
      <c r="W35" s="130"/>
      <c r="X35" s="130"/>
      <c r="Y35" s="130"/>
      <c r="Z35" s="130"/>
      <c r="AA35" s="130"/>
    </row>
    <row r="36" ht="14.25" customHeight="1">
      <c r="A36" s="177" t="str">
        <f>IF('2. List of IROs'!E8="","",'2. List of IROs'!E8)</f>
        <v>Opportunity E1-3</v>
      </c>
      <c r="B36" s="191" t="str">
        <f t="shared" si="29"/>
        <v>Renewable energy sources</v>
      </c>
      <c r="C36" s="192"/>
      <c r="D36" s="171" t="s">
        <v>253</v>
      </c>
      <c r="E36" s="171">
        <f>IFERROR(VLOOKUP(D36,'Assignment Table'!$A$15:$B$23,2,FALSE),"")</f>
        <v>4</v>
      </c>
      <c r="F36" s="171"/>
      <c r="G36" s="171" t="s">
        <v>258</v>
      </c>
      <c r="H36" s="193">
        <f>IFERROR(VLOOKUP(G36,'Assignment Table'!$A$27:$B$35,2,FALSE),"")</f>
        <v>2</v>
      </c>
      <c r="I36" s="193"/>
      <c r="J36" s="192"/>
      <c r="K36" s="194"/>
      <c r="L36" s="192"/>
      <c r="M36" s="192"/>
      <c r="N36" s="171">
        <f t="shared" si="27"/>
        <v>8</v>
      </c>
      <c r="O36" s="173" t="str">
        <f t="shared" si="28"/>
        <v>no</v>
      </c>
      <c r="P36" s="130"/>
      <c r="Q36" s="130"/>
      <c r="R36" s="130"/>
      <c r="S36" s="130"/>
      <c r="T36" s="130"/>
      <c r="U36" s="130"/>
      <c r="V36" s="130"/>
      <c r="W36" s="130"/>
      <c r="X36" s="130"/>
      <c r="Y36" s="130"/>
      <c r="Z36" s="130"/>
      <c r="AA36" s="130"/>
    </row>
    <row r="37" ht="14.25" customHeight="1">
      <c r="A37" s="196" t="s">
        <v>118</v>
      </c>
      <c r="B37" s="132"/>
      <c r="C37" s="132"/>
      <c r="D37" s="132"/>
      <c r="E37" s="132"/>
      <c r="F37" s="132"/>
      <c r="G37" s="132"/>
      <c r="H37" s="132"/>
      <c r="I37" s="132"/>
      <c r="J37" s="132"/>
      <c r="K37" s="132"/>
      <c r="L37" s="132"/>
      <c r="M37" s="132"/>
      <c r="N37" s="132"/>
      <c r="O37" s="133"/>
      <c r="P37" s="130"/>
      <c r="Q37" s="130"/>
      <c r="R37" s="130"/>
      <c r="S37" s="130"/>
      <c r="T37" s="130"/>
      <c r="U37" s="130"/>
      <c r="V37" s="130"/>
      <c r="W37" s="130"/>
      <c r="X37" s="130"/>
      <c r="Y37" s="130"/>
      <c r="Z37" s="130"/>
      <c r="AA37" s="130"/>
    </row>
    <row r="38" ht="14.25" customHeight="1">
      <c r="A38" s="174" t="str">
        <f>IF('2. List of IROs'!D10="","",'2. List of IROs'!D10)</f>
        <v>Risk E2-1</v>
      </c>
      <c r="B38" s="171" t="str">
        <f t="shared" ref="B38:B44" si="30">B9</f>
        <v>Greenhouse gases</v>
      </c>
      <c r="C38" s="197"/>
      <c r="D38" s="171" t="s">
        <v>259</v>
      </c>
      <c r="E38" s="171">
        <f>IFERROR(VLOOKUP(D38,'Assignment Table'!$A$15:$B$23,2,FALSE),"")</f>
        <v>6</v>
      </c>
      <c r="F38" s="171"/>
      <c r="G38" s="171" t="s">
        <v>243</v>
      </c>
      <c r="H38" s="193">
        <f>IFERROR(VLOOKUP(G38,'Assignment Table'!$A$27:$B$35,2,FALSE),"")</f>
        <v>3</v>
      </c>
      <c r="I38" s="171"/>
      <c r="J38" s="198"/>
      <c r="K38" s="194" t="str">
        <f t="shared" ref="K38:K39" si="31">IFERROR(E38*G38,"")</f>
        <v/>
      </c>
      <c r="L38" s="192"/>
      <c r="M38" s="192"/>
      <c r="N38" s="171">
        <f t="shared" ref="N38:N40" si="32">IF(OR(E38="", H38=""), "", E38*H38)</f>
        <v>18</v>
      </c>
      <c r="O38" s="171" t="str">
        <f t="shared" ref="O38:O40" si="33">IF(OR(E38="", H38=""), "", IF(E38*H38 &gt;=20, "yes", IF(E38*H38 &lt;20, "no", "")))</f>
        <v>no</v>
      </c>
      <c r="P38" s="130"/>
      <c r="Q38" s="130"/>
      <c r="R38" s="130"/>
      <c r="S38" s="130"/>
      <c r="T38" s="130"/>
      <c r="U38" s="130"/>
      <c r="V38" s="130"/>
      <c r="W38" s="130"/>
      <c r="X38" s="130"/>
      <c r="Y38" s="130"/>
      <c r="Z38" s="130"/>
      <c r="AA38" s="130"/>
    </row>
    <row r="39" ht="14.25" customHeight="1">
      <c r="A39" s="174" t="str">
        <f>IF('2. List of IROs'!D11="","",'2. List of IROs'!D11)</f>
        <v>Risk E2-2</v>
      </c>
      <c r="B39" s="171" t="str">
        <f t="shared" si="30"/>
        <v/>
      </c>
      <c r="C39" s="197"/>
      <c r="D39" s="171" t="s">
        <v>253</v>
      </c>
      <c r="E39" s="171">
        <f>IFERROR(VLOOKUP(D39,'Assignment Table'!$A$15:$B$23,2,FALSE),"")</f>
        <v>4</v>
      </c>
      <c r="F39" s="171"/>
      <c r="G39" s="171" t="s">
        <v>243</v>
      </c>
      <c r="H39" s="193">
        <f>IFERROR(VLOOKUP(G39,'Assignment Table'!$A$27:$B$35,2,FALSE),"")</f>
        <v>3</v>
      </c>
      <c r="I39" s="193"/>
      <c r="J39" s="198"/>
      <c r="K39" s="194" t="str">
        <f t="shared" si="31"/>
        <v/>
      </c>
      <c r="L39" s="192"/>
      <c r="M39" s="192"/>
      <c r="N39" s="171">
        <f t="shared" si="32"/>
        <v>12</v>
      </c>
      <c r="O39" s="171" t="str">
        <f t="shared" si="33"/>
        <v>no</v>
      </c>
      <c r="P39" s="130"/>
      <c r="Q39" s="130"/>
      <c r="R39" s="130"/>
      <c r="S39" s="130"/>
      <c r="T39" s="130"/>
      <c r="U39" s="130"/>
      <c r="V39" s="130"/>
      <c r="W39" s="130"/>
      <c r="X39" s="130"/>
      <c r="Y39" s="130"/>
      <c r="Z39" s="130"/>
      <c r="AA39" s="130"/>
    </row>
    <row r="40" ht="14.25" customHeight="1">
      <c r="A40" s="174" t="str">
        <f>IF('2. List of IROs'!D12="","",'2. List of IROs'!D12)</f>
        <v>Risk E2-3</v>
      </c>
      <c r="B40" s="171" t="str">
        <f t="shared" si="30"/>
        <v/>
      </c>
      <c r="C40" s="197"/>
      <c r="D40" s="171" t="s">
        <v>253</v>
      </c>
      <c r="E40" s="171">
        <f>IFERROR(VLOOKUP(D40,'Assignment Table'!$A$15:$B$23,2,FALSE),"")</f>
        <v>4</v>
      </c>
      <c r="F40" s="171"/>
      <c r="G40" s="171" t="s">
        <v>244</v>
      </c>
      <c r="H40" s="193">
        <f>IFERROR(VLOOKUP(G40,'Assignment Table'!$A$27:$B$35,2,FALSE),"")</f>
        <v>6</v>
      </c>
      <c r="I40" s="193"/>
      <c r="J40" s="198"/>
      <c r="K40" s="194"/>
      <c r="L40" s="192"/>
      <c r="M40" s="192"/>
      <c r="N40" s="171">
        <f t="shared" si="32"/>
        <v>24</v>
      </c>
      <c r="O40" s="171" t="str">
        <f t="shared" si="33"/>
        <v>yes</v>
      </c>
      <c r="P40" s="130"/>
      <c r="Q40" s="130"/>
      <c r="R40" s="130"/>
      <c r="S40" s="130"/>
      <c r="T40" s="130"/>
      <c r="U40" s="130"/>
      <c r="V40" s="130"/>
      <c r="W40" s="130"/>
      <c r="X40" s="130"/>
      <c r="Y40" s="130"/>
      <c r="Z40" s="130"/>
      <c r="AA40" s="130"/>
    </row>
    <row r="41" ht="14.25" customHeight="1">
      <c r="A41" s="174" t="str">
        <f>IF('2. List of IROs'!D13="","",'2. List of IROs'!D13)</f>
        <v>Risk E2-4</v>
      </c>
      <c r="B41" s="171" t="str">
        <f t="shared" si="30"/>
        <v/>
      </c>
      <c r="C41" s="197"/>
      <c r="D41" s="171"/>
      <c r="E41" s="171"/>
      <c r="F41" s="171"/>
      <c r="G41" s="171"/>
      <c r="H41" s="193"/>
      <c r="I41" s="193"/>
      <c r="J41" s="198"/>
      <c r="K41" s="194"/>
      <c r="L41" s="192"/>
      <c r="M41" s="192"/>
      <c r="N41" s="171"/>
      <c r="O41" s="171"/>
      <c r="P41" s="130"/>
      <c r="Q41" s="130"/>
      <c r="R41" s="130"/>
      <c r="S41" s="130"/>
      <c r="T41" s="130"/>
      <c r="U41" s="130"/>
      <c r="V41" s="130"/>
      <c r="W41" s="130"/>
      <c r="X41" s="130"/>
      <c r="Y41" s="130"/>
      <c r="Z41" s="130"/>
      <c r="AA41" s="130"/>
    </row>
    <row r="42" ht="14.25" customHeight="1">
      <c r="A42" s="174" t="str">
        <f>IF('2. List of IROs'!D14="","",'2. List of IROs'!D14)</f>
        <v>Risk E2-5</v>
      </c>
      <c r="B42" s="171" t="str">
        <f t="shared" si="30"/>
        <v/>
      </c>
      <c r="C42" s="197"/>
      <c r="D42" s="171"/>
      <c r="E42" s="171"/>
      <c r="F42" s="171"/>
      <c r="G42" s="171"/>
      <c r="H42" s="193"/>
      <c r="I42" s="193"/>
      <c r="J42" s="198"/>
      <c r="K42" s="194"/>
      <c r="L42" s="192"/>
      <c r="M42" s="192"/>
      <c r="N42" s="171"/>
      <c r="O42" s="171"/>
      <c r="P42" s="130"/>
      <c r="Q42" s="130"/>
      <c r="R42" s="130"/>
      <c r="S42" s="130"/>
      <c r="T42" s="130"/>
      <c r="U42" s="130"/>
      <c r="V42" s="130"/>
      <c r="W42" s="130"/>
      <c r="X42" s="130"/>
      <c r="Y42" s="130"/>
      <c r="Z42" s="130"/>
      <c r="AA42" s="130"/>
    </row>
    <row r="43" ht="14.25" customHeight="1">
      <c r="A43" s="174" t="str">
        <f>IF('2. List of IROs'!D15="","",'2. List of IROs'!D15)</f>
        <v>Risk E2-6</v>
      </c>
      <c r="B43" s="171" t="str">
        <f t="shared" si="30"/>
        <v/>
      </c>
      <c r="C43" s="197"/>
      <c r="D43" s="171"/>
      <c r="E43" s="171"/>
      <c r="F43" s="171"/>
      <c r="G43" s="171"/>
      <c r="H43" s="193"/>
      <c r="I43" s="193"/>
      <c r="J43" s="198"/>
      <c r="K43" s="194"/>
      <c r="L43" s="192"/>
      <c r="M43" s="192"/>
      <c r="N43" s="171"/>
      <c r="O43" s="171"/>
      <c r="P43" s="130"/>
      <c r="Q43" s="130"/>
      <c r="R43" s="130"/>
      <c r="S43" s="130"/>
      <c r="T43" s="130"/>
      <c r="U43" s="130"/>
      <c r="V43" s="130"/>
      <c r="W43" s="130"/>
      <c r="X43" s="130"/>
      <c r="Y43" s="130"/>
      <c r="Z43" s="130"/>
      <c r="AA43" s="130"/>
    </row>
    <row r="44" ht="14.25" customHeight="1">
      <c r="A44" s="174" t="str">
        <f>IF('2. List of IROs'!D16="","",'2. List of IROs'!D16)</f>
        <v>Risk E2-7</v>
      </c>
      <c r="B44" s="171" t="str">
        <f t="shared" si="30"/>
        <v/>
      </c>
      <c r="C44" s="197"/>
      <c r="D44" s="171"/>
      <c r="E44" s="171"/>
      <c r="F44" s="171"/>
      <c r="G44" s="171"/>
      <c r="H44" s="193"/>
      <c r="I44" s="193"/>
      <c r="J44" s="198"/>
      <c r="K44" s="194"/>
      <c r="L44" s="192"/>
      <c r="M44" s="192"/>
      <c r="N44" s="171"/>
      <c r="O44" s="171"/>
      <c r="P44" s="130"/>
      <c r="Q44" s="130"/>
      <c r="R44" s="130"/>
      <c r="S44" s="130"/>
      <c r="T44" s="130"/>
      <c r="U44" s="130"/>
      <c r="V44" s="130"/>
      <c r="W44" s="130"/>
      <c r="X44" s="130"/>
      <c r="Y44" s="130"/>
      <c r="Z44" s="130"/>
      <c r="AA44" s="130"/>
    </row>
    <row r="45" ht="14.25" customHeight="1">
      <c r="A45" s="174" t="str">
        <f>IF('2. List of IROs'!E18="","",'2. List of IROs'!E10)</f>
        <v>Opportunity E2-1</v>
      </c>
      <c r="B45" s="171" t="str">
        <f t="shared" ref="B45:B51" si="34">B9</f>
        <v>Greenhouse gases</v>
      </c>
      <c r="C45" s="197"/>
      <c r="D45" s="171" t="s">
        <v>254</v>
      </c>
      <c r="E45" s="171">
        <f>IFERROR(VLOOKUP(D45,'Assignment Table'!$A$15:$B$23,2,FALSE),"")</f>
        <v>5</v>
      </c>
      <c r="F45" s="171"/>
      <c r="G45" s="171" t="s">
        <v>258</v>
      </c>
      <c r="H45" s="193">
        <f>IFERROR(VLOOKUP(G45,'Assignment Table'!$A$27:$B$35,2,FALSE),"")</f>
        <v>2</v>
      </c>
      <c r="I45" s="193"/>
      <c r="J45" s="198"/>
      <c r="K45" s="194" t="str">
        <f t="shared" ref="K45:K46" si="35">IFERROR(E45*G45,"")</f>
        <v/>
      </c>
      <c r="L45" s="192"/>
      <c r="M45" s="192"/>
      <c r="N45" s="171">
        <f t="shared" ref="N45:N47" si="36">IF(OR(E45="", H45=""), "", E45*H45)</f>
        <v>10</v>
      </c>
      <c r="O45" s="171" t="str">
        <f t="shared" ref="O45:O47" si="37">IF(OR(E45="", H45=""), "", IF(E45*H45 &gt;=20, "yes", IF(E45*H45 &lt;20, "no", "")))</f>
        <v>no</v>
      </c>
      <c r="P45" s="130"/>
      <c r="Q45" s="130"/>
      <c r="R45" s="130"/>
      <c r="S45" s="130"/>
      <c r="T45" s="130"/>
      <c r="U45" s="130"/>
      <c r="V45" s="130"/>
      <c r="W45" s="130"/>
      <c r="X45" s="130"/>
      <c r="Y45" s="130"/>
      <c r="Z45" s="130"/>
      <c r="AA45" s="130"/>
    </row>
    <row r="46" ht="14.25" customHeight="1">
      <c r="A46" s="174" t="str">
        <f>IF('2. List of IROs'!E11="","",'2. List of IROs'!E11)</f>
        <v>Opportunity E2-2</v>
      </c>
      <c r="B46" s="171" t="str">
        <f t="shared" si="34"/>
        <v/>
      </c>
      <c r="C46" s="197"/>
      <c r="D46" s="171" t="s">
        <v>259</v>
      </c>
      <c r="E46" s="171">
        <f>IFERROR(VLOOKUP(D46,'Assignment Table'!$A$15:$B$23,2,FALSE),"")</f>
        <v>6</v>
      </c>
      <c r="F46" s="171"/>
      <c r="G46" s="171" t="s">
        <v>258</v>
      </c>
      <c r="H46" s="193">
        <f>IFERROR(VLOOKUP(G46,'Assignment Table'!$A$27:$B$35,2,FALSE),"")</f>
        <v>2</v>
      </c>
      <c r="I46" s="193"/>
      <c r="J46" s="198"/>
      <c r="K46" s="194" t="str">
        <f t="shared" si="35"/>
        <v/>
      </c>
      <c r="L46" s="192"/>
      <c r="M46" s="192"/>
      <c r="N46" s="171">
        <f t="shared" si="36"/>
        <v>12</v>
      </c>
      <c r="O46" s="171" t="str">
        <f t="shared" si="37"/>
        <v>no</v>
      </c>
      <c r="P46" s="130"/>
      <c r="Q46" s="130"/>
      <c r="R46" s="130"/>
      <c r="S46" s="130"/>
      <c r="T46" s="130"/>
      <c r="U46" s="130"/>
      <c r="V46" s="130"/>
      <c r="W46" s="130"/>
      <c r="X46" s="130"/>
      <c r="Y46" s="130"/>
      <c r="Z46" s="130"/>
      <c r="AA46" s="130"/>
    </row>
    <row r="47" ht="14.25" customHeight="1">
      <c r="A47" s="174" t="str">
        <f>IF('2. List of IROs'!E12="","",'2. List of IROs'!E12)</f>
        <v>Opportunity E2-3</v>
      </c>
      <c r="B47" s="171" t="str">
        <f t="shared" si="34"/>
        <v/>
      </c>
      <c r="C47" s="197"/>
      <c r="D47" s="171" t="s">
        <v>260</v>
      </c>
      <c r="E47" s="171">
        <f>IFERROR(VLOOKUP(D47,'Assignment Table'!$A$15:$B$23,2,FALSE),"")</f>
        <v>7</v>
      </c>
      <c r="F47" s="171"/>
      <c r="G47" s="171" t="s">
        <v>257</v>
      </c>
      <c r="H47" s="193">
        <f>IFERROR(VLOOKUP(G47,'Assignment Table'!$A$27:$B$35,2,FALSE),"")</f>
        <v>4</v>
      </c>
      <c r="I47" s="193"/>
      <c r="J47" s="198"/>
      <c r="K47" s="194"/>
      <c r="L47" s="192"/>
      <c r="M47" s="192"/>
      <c r="N47" s="171">
        <f t="shared" si="36"/>
        <v>28</v>
      </c>
      <c r="O47" s="171" t="str">
        <f t="shared" si="37"/>
        <v>yes</v>
      </c>
      <c r="P47" s="130"/>
      <c r="Q47" s="130"/>
      <c r="R47" s="130"/>
      <c r="S47" s="130"/>
      <c r="T47" s="130"/>
      <c r="U47" s="130"/>
      <c r="V47" s="130"/>
      <c r="W47" s="130"/>
      <c r="X47" s="130"/>
      <c r="Y47" s="130"/>
      <c r="Z47" s="130"/>
      <c r="AA47" s="130"/>
    </row>
    <row r="48" ht="14.25" customHeight="1">
      <c r="A48" s="174" t="str">
        <f>IF('2. List of IROs'!E13="","",'2. List of IROs'!E13)</f>
        <v>Opportunity E2-4</v>
      </c>
      <c r="B48" s="171" t="str">
        <f t="shared" si="34"/>
        <v/>
      </c>
      <c r="C48" s="197"/>
      <c r="D48" s="171"/>
      <c r="E48" s="171"/>
      <c r="F48" s="171"/>
      <c r="G48" s="171"/>
      <c r="H48" s="193"/>
      <c r="I48" s="193"/>
      <c r="J48" s="198"/>
      <c r="K48" s="194"/>
      <c r="L48" s="192"/>
      <c r="M48" s="192"/>
      <c r="N48" s="171"/>
      <c r="O48" s="171"/>
      <c r="P48" s="130"/>
      <c r="Q48" s="130"/>
      <c r="R48" s="130"/>
      <c r="S48" s="130"/>
      <c r="T48" s="130"/>
      <c r="U48" s="130"/>
      <c r="V48" s="130"/>
      <c r="W48" s="130"/>
      <c r="X48" s="130"/>
      <c r="Y48" s="130"/>
      <c r="Z48" s="130"/>
      <c r="AA48" s="130"/>
    </row>
    <row r="49" ht="14.25" customHeight="1">
      <c r="A49" s="174" t="str">
        <f>IF('2. List of IROs'!E14="","",'2. List of IROs'!E14)</f>
        <v>Opportunity E2-5</v>
      </c>
      <c r="B49" s="171" t="str">
        <f t="shared" si="34"/>
        <v/>
      </c>
      <c r="C49" s="197"/>
      <c r="D49" s="171"/>
      <c r="E49" s="171"/>
      <c r="F49" s="171"/>
      <c r="G49" s="171"/>
      <c r="H49" s="193"/>
      <c r="I49" s="193"/>
      <c r="J49" s="198"/>
      <c r="K49" s="194"/>
      <c r="L49" s="192"/>
      <c r="M49" s="192"/>
      <c r="N49" s="171"/>
      <c r="O49" s="171"/>
      <c r="P49" s="130"/>
      <c r="Q49" s="130"/>
      <c r="R49" s="130"/>
      <c r="S49" s="130"/>
      <c r="T49" s="130"/>
      <c r="U49" s="130"/>
      <c r="V49" s="130"/>
      <c r="W49" s="130"/>
      <c r="X49" s="130"/>
      <c r="Y49" s="130"/>
      <c r="Z49" s="130"/>
      <c r="AA49" s="130"/>
    </row>
    <row r="50" ht="14.25" customHeight="1">
      <c r="A50" s="174" t="str">
        <f>IF('2. List of IROs'!E15="","",'2. List of IROs'!E15)</f>
        <v>Opportunity E2-6</v>
      </c>
      <c r="B50" s="171" t="str">
        <f t="shared" si="34"/>
        <v/>
      </c>
      <c r="C50" s="197"/>
      <c r="D50" s="171"/>
      <c r="E50" s="171"/>
      <c r="F50" s="171"/>
      <c r="G50" s="171"/>
      <c r="H50" s="193"/>
      <c r="I50" s="193"/>
      <c r="J50" s="198"/>
      <c r="K50" s="194"/>
      <c r="L50" s="192"/>
      <c r="M50" s="192"/>
      <c r="N50" s="171"/>
      <c r="O50" s="171"/>
      <c r="P50" s="130"/>
      <c r="Q50" s="130"/>
      <c r="R50" s="130"/>
      <c r="S50" s="130"/>
      <c r="T50" s="130"/>
      <c r="U50" s="130"/>
      <c r="V50" s="130"/>
      <c r="W50" s="130"/>
      <c r="X50" s="130"/>
      <c r="Y50" s="130"/>
      <c r="Z50" s="130"/>
      <c r="AA50" s="130"/>
    </row>
    <row r="51" ht="14.25" customHeight="1">
      <c r="A51" s="174" t="str">
        <f>IF('2. List of IROs'!E16="","",'2. List of IROs'!E16)</f>
        <v>Opportunity E2-7</v>
      </c>
      <c r="B51" s="171" t="str">
        <f t="shared" si="34"/>
        <v/>
      </c>
      <c r="C51" s="197"/>
      <c r="D51" s="171"/>
      <c r="E51" s="171"/>
      <c r="F51" s="171"/>
      <c r="G51" s="171"/>
      <c r="H51" s="193"/>
      <c r="I51" s="193"/>
      <c r="J51" s="198"/>
      <c r="K51" s="194"/>
      <c r="L51" s="192"/>
      <c r="M51" s="192"/>
      <c r="N51" s="171"/>
      <c r="O51" s="171"/>
      <c r="P51" s="130"/>
      <c r="Q51" s="130"/>
      <c r="R51" s="130"/>
      <c r="S51" s="130"/>
      <c r="T51" s="130"/>
      <c r="U51" s="130"/>
      <c r="V51" s="130"/>
      <c r="W51" s="130"/>
      <c r="X51" s="130"/>
      <c r="Y51" s="130"/>
      <c r="Z51" s="130"/>
      <c r="AA51" s="130"/>
    </row>
    <row r="52" ht="14.25" customHeight="1">
      <c r="A52" s="196" t="s">
        <v>141</v>
      </c>
      <c r="B52" s="132"/>
      <c r="C52" s="132"/>
      <c r="D52" s="132"/>
      <c r="E52" s="132"/>
      <c r="F52" s="132"/>
      <c r="G52" s="132"/>
      <c r="H52" s="132"/>
      <c r="I52" s="132"/>
      <c r="J52" s="132"/>
      <c r="K52" s="132"/>
      <c r="L52" s="132"/>
      <c r="M52" s="132"/>
      <c r="N52" s="132"/>
      <c r="O52" s="133"/>
      <c r="P52" s="130"/>
      <c r="Q52" s="130"/>
      <c r="R52" s="130"/>
      <c r="S52" s="130"/>
      <c r="T52" s="130"/>
      <c r="U52" s="130"/>
      <c r="V52" s="130"/>
      <c r="W52" s="130"/>
      <c r="X52" s="130"/>
      <c r="Y52" s="130"/>
      <c r="Z52" s="130"/>
      <c r="AA52" s="130"/>
    </row>
    <row r="53" ht="14.25" customHeight="1">
      <c r="A53" s="177" t="str">
        <f>IF('2. List of IROs'!D18="","",'2. List of IROs'!D18)</f>
        <v>Risk E3-1</v>
      </c>
      <c r="B53" s="191" t="str">
        <f t="shared" ref="B53:B54" si="38">B17</f>
        <v/>
      </c>
      <c r="C53" s="192"/>
      <c r="D53" s="171"/>
      <c r="E53" s="171" t="str">
        <f>IFERROR(VLOOKUP(D53,'Assignment Table'!$A$15:$B$23,2,FALSE),"")</f>
        <v/>
      </c>
      <c r="F53" s="171"/>
      <c r="G53" s="171"/>
      <c r="H53" s="193" t="str">
        <f>IFERROR(VLOOKUP(G53,'Assignment Table'!$A$27:$B$35,2,FALSE),"")</f>
        <v/>
      </c>
      <c r="I53" s="193"/>
      <c r="J53" s="198"/>
      <c r="K53" s="194">
        <f t="shared" ref="K53:K56" si="39">IFERROR(E53*G53,"")</f>
        <v>0</v>
      </c>
      <c r="L53" s="192"/>
      <c r="M53" s="192"/>
      <c r="N53" s="171" t="str">
        <f t="shared" ref="N53:N56" si="40">IF(OR(E53="", H53=""), "", E53*H53)</f>
        <v/>
      </c>
      <c r="O53" s="173" t="str">
        <f t="shared" ref="O53:O56" si="41">IF(OR(E53="", H53=""), "", IF(E53*H53 &gt;=20, "yes", IF(E53*H53 &lt;20, "no", "")))</f>
        <v/>
      </c>
      <c r="P53" s="130"/>
      <c r="Q53" s="130"/>
      <c r="R53" s="130"/>
      <c r="S53" s="130"/>
      <c r="T53" s="130"/>
      <c r="U53" s="130"/>
      <c r="V53" s="130"/>
      <c r="W53" s="130"/>
      <c r="X53" s="130"/>
      <c r="Y53" s="130"/>
      <c r="Z53" s="130"/>
      <c r="AA53" s="130"/>
    </row>
    <row r="54" ht="14.25" customHeight="1">
      <c r="A54" s="177" t="str">
        <f>IF('2. List of IROs'!D19="","",'2. List of IROs'!D19)</f>
        <v>Risk E3-2</v>
      </c>
      <c r="B54" s="191" t="str">
        <f t="shared" si="38"/>
        <v/>
      </c>
      <c r="C54" s="192"/>
      <c r="D54" s="171"/>
      <c r="E54" s="171" t="str">
        <f>IFERROR(VLOOKUP(D54,'Assignment Table'!$A$15:$B$23,2,FALSE),"")</f>
        <v/>
      </c>
      <c r="F54" s="171"/>
      <c r="G54" s="171"/>
      <c r="H54" s="193" t="str">
        <f>IFERROR(VLOOKUP(G54,'Assignment Table'!$A$27:$B$35,2,FALSE),"")</f>
        <v/>
      </c>
      <c r="I54" s="193"/>
      <c r="J54" s="198"/>
      <c r="K54" s="194">
        <f t="shared" si="39"/>
        <v>0</v>
      </c>
      <c r="L54" s="192"/>
      <c r="M54" s="192"/>
      <c r="N54" s="171" t="str">
        <f t="shared" si="40"/>
        <v/>
      </c>
      <c r="O54" s="173" t="str">
        <f t="shared" si="41"/>
        <v/>
      </c>
      <c r="P54" s="130"/>
      <c r="Q54" s="130"/>
      <c r="R54" s="130"/>
      <c r="S54" s="130"/>
      <c r="T54" s="130"/>
      <c r="U54" s="130"/>
      <c r="V54" s="130"/>
      <c r="W54" s="130"/>
      <c r="X54" s="130"/>
      <c r="Y54" s="130"/>
      <c r="Z54" s="130"/>
      <c r="AA54" s="130"/>
    </row>
    <row r="55" ht="14.25" customHeight="1">
      <c r="A55" s="177" t="str">
        <f>IF('2. List of IROs'!E18="","",'2. List of IROs'!E18)</f>
        <v>Opportunity E3-1</v>
      </c>
      <c r="B55" s="191" t="str">
        <f t="shared" ref="B55:B56" si="42">B17</f>
        <v/>
      </c>
      <c r="C55" s="192"/>
      <c r="D55" s="171"/>
      <c r="E55" s="171" t="str">
        <f>IFERROR(VLOOKUP(D55,'Assignment Table'!$A$15:$B$23,2,FALSE),"")</f>
        <v/>
      </c>
      <c r="F55" s="171"/>
      <c r="G55" s="171"/>
      <c r="H55" s="193" t="str">
        <f>IFERROR(VLOOKUP(G55,'Assignment Table'!$A$27:$B$35,2,FALSE),"")</f>
        <v/>
      </c>
      <c r="I55" s="193"/>
      <c r="J55" s="198"/>
      <c r="K55" s="194">
        <f t="shared" si="39"/>
        <v>0</v>
      </c>
      <c r="L55" s="192"/>
      <c r="M55" s="192"/>
      <c r="N55" s="171" t="str">
        <f t="shared" si="40"/>
        <v/>
      </c>
      <c r="O55" s="173" t="str">
        <f t="shared" si="41"/>
        <v/>
      </c>
      <c r="P55" s="130"/>
      <c r="Q55" s="130"/>
      <c r="R55" s="130"/>
      <c r="S55" s="130"/>
      <c r="T55" s="130"/>
      <c r="U55" s="130"/>
      <c r="V55" s="130"/>
      <c r="W55" s="130"/>
      <c r="X55" s="130"/>
      <c r="Y55" s="130"/>
      <c r="Z55" s="130"/>
      <c r="AA55" s="130"/>
    </row>
    <row r="56" ht="14.25" customHeight="1">
      <c r="A56" s="177" t="str">
        <f>IF('2. List of IROs'!E19="","",'2. List of IROs'!E19)</f>
        <v>Opportunity E3-2</v>
      </c>
      <c r="B56" s="191" t="str">
        <f t="shared" si="42"/>
        <v/>
      </c>
      <c r="C56" s="192"/>
      <c r="D56" s="171"/>
      <c r="E56" s="171" t="str">
        <f>IFERROR(VLOOKUP(D56,'Assignment Table'!$A$15:$B$23,2,FALSE),"")</f>
        <v/>
      </c>
      <c r="F56" s="171"/>
      <c r="G56" s="171"/>
      <c r="H56" s="193" t="str">
        <f>IFERROR(VLOOKUP(G56,'Assignment Table'!$A$27:$B$35,2,FALSE),"")</f>
        <v/>
      </c>
      <c r="I56" s="193"/>
      <c r="J56" s="198"/>
      <c r="K56" s="194">
        <f t="shared" si="39"/>
        <v>0</v>
      </c>
      <c r="L56" s="192"/>
      <c r="M56" s="192"/>
      <c r="N56" s="171" t="str">
        <f t="shared" si="40"/>
        <v/>
      </c>
      <c r="O56" s="173" t="str">
        <f t="shared" si="41"/>
        <v/>
      </c>
      <c r="P56" s="130"/>
      <c r="Q56" s="130"/>
      <c r="R56" s="130"/>
      <c r="S56" s="130"/>
      <c r="T56" s="130"/>
      <c r="U56" s="130"/>
      <c r="V56" s="130"/>
      <c r="W56" s="130"/>
      <c r="X56" s="130"/>
      <c r="Y56" s="130"/>
      <c r="Z56" s="130"/>
      <c r="AA56" s="130"/>
    </row>
    <row r="57" ht="14.25" customHeight="1">
      <c r="A57" s="196" t="s">
        <v>148</v>
      </c>
      <c r="B57" s="132"/>
      <c r="C57" s="132"/>
      <c r="D57" s="132"/>
      <c r="E57" s="132"/>
      <c r="F57" s="132"/>
      <c r="G57" s="132"/>
      <c r="H57" s="132"/>
      <c r="I57" s="132"/>
      <c r="J57" s="132"/>
      <c r="K57" s="132"/>
      <c r="L57" s="132"/>
      <c r="M57" s="132"/>
      <c r="N57" s="132"/>
      <c r="O57" s="133"/>
      <c r="P57" s="130"/>
      <c r="Q57" s="130"/>
      <c r="R57" s="130"/>
      <c r="S57" s="130"/>
      <c r="T57" s="130"/>
      <c r="U57" s="130"/>
      <c r="V57" s="130"/>
      <c r="W57" s="130"/>
      <c r="X57" s="130"/>
      <c r="Y57" s="130"/>
      <c r="Z57" s="130"/>
      <c r="AA57" s="130"/>
    </row>
    <row r="58" ht="14.25" customHeight="1">
      <c r="A58" s="177" t="str">
        <f>IF('2. List of IROs'!D21="","",'2. List of IROs'!D21)</f>
        <v>Risk E4-1</v>
      </c>
      <c r="B58" s="191" t="str">
        <f t="shared" ref="B58:B60" si="43">B20</f>
        <v/>
      </c>
      <c r="C58" s="197"/>
      <c r="D58" s="171"/>
      <c r="E58" s="171" t="str">
        <f>IFERROR(VLOOKUP(D58,'Assignment Table'!$A$15:$B$23,2,FALSE),"")</f>
        <v/>
      </c>
      <c r="F58" s="171"/>
      <c r="G58" s="171"/>
      <c r="H58" s="193" t="str">
        <f>IFERROR(VLOOKUP(G58,'Assignment Table'!$A$27:$B$35,2,FALSE),"")</f>
        <v/>
      </c>
      <c r="I58" s="193"/>
      <c r="J58" s="192"/>
      <c r="K58" s="194">
        <f t="shared" ref="K58:K59" si="44">IFERROR(E58*G58,"")</f>
        <v>0</v>
      </c>
      <c r="L58" s="192"/>
      <c r="M58" s="192"/>
      <c r="N58" s="171" t="str">
        <f t="shared" ref="N58:N63" si="45">IF(OR(E58="", H58=""), "", E58*H58)</f>
        <v/>
      </c>
      <c r="O58" s="173" t="str">
        <f t="shared" ref="O58:O63" si="46">IF(OR(E58="", H58=""), "", IF(E58*H58 &gt;=20, "yes", IF(E58*H58 &lt;20, "no", "")))</f>
        <v/>
      </c>
      <c r="P58" s="130"/>
      <c r="Q58" s="130"/>
      <c r="R58" s="130"/>
      <c r="S58" s="130"/>
      <c r="T58" s="130"/>
      <c r="U58" s="130"/>
      <c r="V58" s="130"/>
      <c r="W58" s="130"/>
      <c r="X58" s="130"/>
      <c r="Y58" s="130"/>
      <c r="Z58" s="130"/>
      <c r="AA58" s="130"/>
    </row>
    <row r="59" ht="14.25" customHeight="1">
      <c r="A59" s="177" t="str">
        <f>IF('2. List of IROs'!D22="","",'2. List of IROs'!D22)</f>
        <v>Risk E4-2</v>
      </c>
      <c r="B59" s="191" t="str">
        <f t="shared" si="43"/>
        <v/>
      </c>
      <c r="C59" s="197"/>
      <c r="D59" s="171"/>
      <c r="E59" s="171" t="str">
        <f>IFERROR(VLOOKUP(D59,'Assignment Table'!$A$15:$B$23,2,FALSE),"")</f>
        <v/>
      </c>
      <c r="F59" s="171"/>
      <c r="G59" s="171"/>
      <c r="H59" s="193" t="str">
        <f>IFERROR(VLOOKUP(G59,'Assignment Table'!$A$27:$B$35,2,FALSE),"")</f>
        <v/>
      </c>
      <c r="I59" s="193"/>
      <c r="J59" s="192"/>
      <c r="K59" s="194">
        <f t="shared" si="44"/>
        <v>0</v>
      </c>
      <c r="L59" s="192"/>
      <c r="M59" s="192"/>
      <c r="N59" s="171" t="str">
        <f t="shared" si="45"/>
        <v/>
      </c>
      <c r="O59" s="173" t="str">
        <f t="shared" si="46"/>
        <v/>
      </c>
      <c r="P59" s="130"/>
      <c r="Q59" s="130"/>
      <c r="R59" s="130"/>
      <c r="S59" s="130"/>
      <c r="T59" s="130"/>
      <c r="U59" s="130"/>
      <c r="V59" s="130"/>
      <c r="W59" s="130"/>
      <c r="X59" s="130"/>
      <c r="Y59" s="130"/>
      <c r="Z59" s="130"/>
      <c r="AA59" s="130"/>
    </row>
    <row r="60" ht="14.25" customHeight="1">
      <c r="A60" s="177" t="str">
        <f>IF('2. List of IROs'!D23="","",'2. List of IROs'!D23)</f>
        <v>Risk E4-3</v>
      </c>
      <c r="B60" s="191" t="str">
        <f t="shared" si="43"/>
        <v/>
      </c>
      <c r="C60" s="197"/>
      <c r="D60" s="171"/>
      <c r="E60" s="171" t="str">
        <f>IFERROR(VLOOKUP(D60,'Assignment Table'!$A$15:$B$23,2,FALSE),"")</f>
        <v/>
      </c>
      <c r="F60" s="171"/>
      <c r="G60" s="171"/>
      <c r="H60" s="193" t="str">
        <f>IFERROR(VLOOKUP(G60,'Assignment Table'!$A$27:$B$35,2,FALSE),"")</f>
        <v/>
      </c>
      <c r="I60" s="193"/>
      <c r="J60" s="192"/>
      <c r="K60" s="194"/>
      <c r="L60" s="192"/>
      <c r="M60" s="192"/>
      <c r="N60" s="171" t="str">
        <f t="shared" si="45"/>
        <v/>
      </c>
      <c r="O60" s="173" t="str">
        <f t="shared" si="46"/>
        <v/>
      </c>
      <c r="P60" s="130"/>
      <c r="Q60" s="130"/>
      <c r="R60" s="130"/>
      <c r="S60" s="130"/>
      <c r="T60" s="130"/>
      <c r="U60" s="130"/>
      <c r="V60" s="130"/>
      <c r="W60" s="130"/>
      <c r="X60" s="130"/>
      <c r="Y60" s="130"/>
      <c r="Z60" s="130"/>
      <c r="AA60" s="130"/>
    </row>
    <row r="61" ht="14.25" customHeight="1">
      <c r="A61" s="177" t="str">
        <f>IF('2. List of IROs'!E21="","",'2. List of IROs'!E21)</f>
        <v>Opportunity E4-1</v>
      </c>
      <c r="B61" s="191" t="str">
        <f t="shared" ref="B61:B63" si="47">B20</f>
        <v/>
      </c>
      <c r="C61" s="197"/>
      <c r="D61" s="171"/>
      <c r="E61" s="171" t="str">
        <f>IFERROR(VLOOKUP(D61,'Assignment Table'!$A$15:$B$23,2,FALSE),"")</f>
        <v/>
      </c>
      <c r="F61" s="171"/>
      <c r="G61" s="171"/>
      <c r="H61" s="193" t="str">
        <f>IFERROR(VLOOKUP(G61,'Assignment Table'!$A$27:$B$35,2,FALSE),"")</f>
        <v/>
      </c>
      <c r="I61" s="193"/>
      <c r="J61" s="192"/>
      <c r="K61" s="194">
        <f t="shared" ref="K61:K62" si="48">IFERROR(E61*G61,"")</f>
        <v>0</v>
      </c>
      <c r="L61" s="192"/>
      <c r="M61" s="192"/>
      <c r="N61" s="171" t="str">
        <f t="shared" si="45"/>
        <v/>
      </c>
      <c r="O61" s="173" t="str">
        <f t="shared" si="46"/>
        <v/>
      </c>
      <c r="P61" s="130"/>
      <c r="Q61" s="130"/>
      <c r="R61" s="130"/>
      <c r="S61" s="130"/>
      <c r="T61" s="130"/>
      <c r="U61" s="130"/>
      <c r="V61" s="130"/>
      <c r="W61" s="130"/>
      <c r="X61" s="130"/>
      <c r="Y61" s="130"/>
      <c r="Z61" s="130"/>
      <c r="AA61" s="130"/>
    </row>
    <row r="62" ht="14.25" customHeight="1">
      <c r="A62" s="177" t="str">
        <f>IF('2. List of IROs'!E22="","",'2. List of IROs'!E22)</f>
        <v>Opportunity E4-2</v>
      </c>
      <c r="B62" s="191" t="str">
        <f t="shared" si="47"/>
        <v/>
      </c>
      <c r="C62" s="197"/>
      <c r="D62" s="171"/>
      <c r="E62" s="171" t="str">
        <f>IFERROR(VLOOKUP(D62,'Assignment Table'!$A$15:$B$23,2,FALSE),"")</f>
        <v/>
      </c>
      <c r="F62" s="171"/>
      <c r="G62" s="171"/>
      <c r="H62" s="193" t="str">
        <f>IFERROR(VLOOKUP(G62,'Assignment Table'!$A$27:$B$35,2,FALSE),"")</f>
        <v/>
      </c>
      <c r="I62" s="193"/>
      <c r="J62" s="192"/>
      <c r="K62" s="194">
        <f t="shared" si="48"/>
        <v>0</v>
      </c>
      <c r="L62" s="192"/>
      <c r="M62" s="192"/>
      <c r="N62" s="171" t="str">
        <f t="shared" si="45"/>
        <v/>
      </c>
      <c r="O62" s="173" t="str">
        <f t="shared" si="46"/>
        <v/>
      </c>
      <c r="P62" s="130"/>
      <c r="Q62" s="130"/>
      <c r="R62" s="130"/>
      <c r="S62" s="130"/>
      <c r="T62" s="130"/>
      <c r="U62" s="130"/>
      <c r="V62" s="130"/>
      <c r="W62" s="130"/>
      <c r="X62" s="130"/>
      <c r="Y62" s="130"/>
      <c r="Z62" s="130"/>
      <c r="AA62" s="130"/>
    </row>
    <row r="63" ht="14.25" customHeight="1">
      <c r="A63" s="177" t="str">
        <f>IF('2. List of IROs'!E23="","",'2. List of IROs'!E23)</f>
        <v>Opportunity E4-3</v>
      </c>
      <c r="B63" s="191" t="str">
        <f t="shared" si="47"/>
        <v/>
      </c>
      <c r="C63" s="197"/>
      <c r="D63" s="171"/>
      <c r="E63" s="171" t="str">
        <f>IFERROR(VLOOKUP(D63,'Assignment Table'!$A$15:$B$23,2,FALSE),"")</f>
        <v/>
      </c>
      <c r="F63" s="171"/>
      <c r="G63" s="171"/>
      <c r="H63" s="193" t="str">
        <f>IFERROR(VLOOKUP(G63,'Assignment Table'!$A$27:$B$35,2,FALSE),"")</f>
        <v/>
      </c>
      <c r="I63" s="193"/>
      <c r="J63" s="192"/>
      <c r="K63" s="194"/>
      <c r="L63" s="192"/>
      <c r="M63" s="192"/>
      <c r="N63" s="171" t="str">
        <f t="shared" si="45"/>
        <v/>
      </c>
      <c r="O63" s="173" t="str">
        <f t="shared" si="46"/>
        <v/>
      </c>
      <c r="P63" s="130"/>
      <c r="Q63" s="130"/>
      <c r="R63" s="130"/>
      <c r="S63" s="130"/>
      <c r="T63" s="130"/>
      <c r="U63" s="130"/>
      <c r="V63" s="130"/>
      <c r="W63" s="130"/>
      <c r="X63" s="130"/>
      <c r="Y63" s="130"/>
      <c r="Z63" s="130"/>
      <c r="AA63" s="130"/>
    </row>
    <row r="64" ht="14.25" customHeight="1">
      <c r="A64" s="196" t="s">
        <v>160</v>
      </c>
      <c r="B64" s="132"/>
      <c r="C64" s="132"/>
      <c r="D64" s="132"/>
      <c r="E64" s="132"/>
      <c r="F64" s="132"/>
      <c r="G64" s="132"/>
      <c r="H64" s="132"/>
      <c r="I64" s="132"/>
      <c r="J64" s="132"/>
      <c r="K64" s="132"/>
      <c r="L64" s="132"/>
      <c r="M64" s="132"/>
      <c r="N64" s="132"/>
      <c r="O64" s="133"/>
      <c r="P64" s="130"/>
      <c r="Q64" s="130"/>
      <c r="R64" s="130"/>
      <c r="S64" s="130"/>
      <c r="T64" s="130"/>
      <c r="U64" s="130"/>
      <c r="V64" s="130"/>
      <c r="W64" s="130"/>
      <c r="X64" s="130"/>
      <c r="Y64" s="130"/>
      <c r="Z64" s="130"/>
      <c r="AA64" s="130"/>
    </row>
    <row r="65" ht="14.25" customHeight="1">
      <c r="A65" s="177" t="str">
        <f>IF('2. List of IROs'!D26="","",'2. List of IROs'!D26)</f>
        <v>Risk E5-1</v>
      </c>
      <c r="B65" s="191" t="str">
        <f t="shared" ref="B65:B67" si="49">B24</f>
        <v/>
      </c>
      <c r="C65" s="192"/>
      <c r="D65" s="171"/>
      <c r="E65" s="171" t="str">
        <f>IFERROR(VLOOKUP(D65,'Assignment Table'!$A$15:$B$23,2,FALSE),"")</f>
        <v/>
      </c>
      <c r="F65" s="171"/>
      <c r="G65" s="171"/>
      <c r="H65" s="193" t="str">
        <f>IFERROR(VLOOKUP(G65,'Assignment Table'!$A$27:$B$35,2,FALSE),"")</f>
        <v/>
      </c>
      <c r="I65" s="193"/>
      <c r="J65" s="192"/>
      <c r="K65" s="194">
        <f t="shared" ref="K65:K66" si="50">IFERROR(E65*G65,"")</f>
        <v>0</v>
      </c>
      <c r="L65" s="192"/>
      <c r="M65" s="192"/>
      <c r="N65" s="171" t="str">
        <f t="shared" ref="N65:N70" si="51">IF(OR(E65="", H65=""), "", E65*H65)</f>
        <v/>
      </c>
      <c r="O65" s="173" t="str">
        <f t="shared" ref="O65:O70" si="52">IF(OR(E65="", H65=""), "", IF(E65*H65 &gt;=20, "yes", IF(E65*H65 &lt;20, "no", "")))</f>
        <v/>
      </c>
      <c r="P65" s="130"/>
      <c r="Q65" s="130"/>
      <c r="R65" s="130"/>
      <c r="S65" s="130"/>
      <c r="T65" s="130"/>
      <c r="U65" s="130"/>
      <c r="V65" s="130"/>
      <c r="W65" s="130"/>
      <c r="X65" s="130"/>
      <c r="Y65" s="130"/>
      <c r="Z65" s="130"/>
      <c r="AA65" s="130"/>
    </row>
    <row r="66" ht="14.25" customHeight="1">
      <c r="A66" s="177" t="str">
        <f>IF('2. List of IROs'!D27="","",'2. List of IROs'!D27)</f>
        <v>Risk E5-2</v>
      </c>
      <c r="B66" s="191" t="str">
        <f t="shared" si="49"/>
        <v/>
      </c>
      <c r="C66" s="192"/>
      <c r="D66" s="171"/>
      <c r="E66" s="171" t="str">
        <f>IFERROR(VLOOKUP(D66,'Assignment Table'!$A$15:$B$23,2,FALSE),"")</f>
        <v/>
      </c>
      <c r="F66" s="171"/>
      <c r="G66" s="171"/>
      <c r="H66" s="193" t="str">
        <f>IFERROR(VLOOKUP(G66,'Assignment Table'!$A$27:$B$35,2,FALSE),"")</f>
        <v/>
      </c>
      <c r="I66" s="193"/>
      <c r="J66" s="192"/>
      <c r="K66" s="194">
        <f t="shared" si="50"/>
        <v>0</v>
      </c>
      <c r="L66" s="192"/>
      <c r="M66" s="192"/>
      <c r="N66" s="171" t="str">
        <f t="shared" si="51"/>
        <v/>
      </c>
      <c r="O66" s="173" t="str">
        <f t="shared" si="52"/>
        <v/>
      </c>
      <c r="P66" s="130"/>
      <c r="Q66" s="130"/>
      <c r="R66" s="130"/>
      <c r="S66" s="130"/>
      <c r="T66" s="130"/>
      <c r="U66" s="130"/>
      <c r="V66" s="130"/>
      <c r="W66" s="130"/>
      <c r="X66" s="130"/>
      <c r="Y66" s="130"/>
      <c r="Z66" s="130"/>
      <c r="AA66" s="130"/>
    </row>
    <row r="67" ht="14.25" customHeight="1">
      <c r="A67" s="177" t="str">
        <f>IF('2. List of IROs'!D28="","",'2. List of IROs'!D28)</f>
        <v>Risk E5-3</v>
      </c>
      <c r="B67" s="191" t="str">
        <f t="shared" si="49"/>
        <v/>
      </c>
      <c r="C67" s="192"/>
      <c r="D67" s="171"/>
      <c r="E67" s="171" t="str">
        <f>IFERROR(VLOOKUP(D67,'Assignment Table'!$A$15:$B$23,2,FALSE),"")</f>
        <v/>
      </c>
      <c r="F67" s="171"/>
      <c r="G67" s="171"/>
      <c r="H67" s="193" t="str">
        <f>IFERROR(VLOOKUP(G67,'Assignment Table'!$A$27:$B$35,2,FALSE),"")</f>
        <v/>
      </c>
      <c r="I67" s="193"/>
      <c r="J67" s="192"/>
      <c r="K67" s="194"/>
      <c r="L67" s="192"/>
      <c r="M67" s="192"/>
      <c r="N67" s="171" t="str">
        <f t="shared" si="51"/>
        <v/>
      </c>
      <c r="O67" s="173" t="str">
        <f t="shared" si="52"/>
        <v/>
      </c>
      <c r="P67" s="130"/>
      <c r="Q67" s="130"/>
      <c r="R67" s="130"/>
      <c r="S67" s="130"/>
      <c r="T67" s="130"/>
      <c r="U67" s="130"/>
      <c r="V67" s="130"/>
      <c r="W67" s="130"/>
      <c r="X67" s="130"/>
      <c r="Y67" s="130"/>
      <c r="Z67" s="130"/>
      <c r="AA67" s="130"/>
    </row>
    <row r="68" ht="14.25" customHeight="1">
      <c r="A68" s="177" t="str">
        <f>IF('2. List of IROs'!E26="","",'2. List of IROs'!E26)</f>
        <v>Opportunity E5-1</v>
      </c>
      <c r="B68" s="191" t="str">
        <f t="shared" ref="B68:B70" si="53">B24</f>
        <v/>
      </c>
      <c r="C68" s="192"/>
      <c r="D68" s="171"/>
      <c r="E68" s="171" t="str">
        <f>IFERROR(VLOOKUP(D68,'Assignment Table'!$A$15:$B$23,2,FALSE),"")</f>
        <v/>
      </c>
      <c r="F68" s="171"/>
      <c r="G68" s="171"/>
      <c r="H68" s="193" t="str">
        <f>IFERROR(VLOOKUP(G68,'Assignment Table'!$A$27:$B$35,2,FALSE),"")</f>
        <v/>
      </c>
      <c r="I68" s="193"/>
      <c r="J68" s="192"/>
      <c r="K68" s="194">
        <f t="shared" ref="K68:K69" si="54">IFERROR(E68*G68,"")</f>
        <v>0</v>
      </c>
      <c r="L68" s="192"/>
      <c r="M68" s="192"/>
      <c r="N68" s="171" t="str">
        <f t="shared" si="51"/>
        <v/>
      </c>
      <c r="O68" s="173" t="str">
        <f t="shared" si="52"/>
        <v/>
      </c>
      <c r="P68" s="130"/>
      <c r="Q68" s="130"/>
      <c r="R68" s="130"/>
      <c r="S68" s="130"/>
      <c r="T68" s="130"/>
      <c r="U68" s="130"/>
      <c r="V68" s="130"/>
      <c r="W68" s="130"/>
      <c r="X68" s="130"/>
      <c r="Y68" s="130"/>
      <c r="Z68" s="130"/>
      <c r="AA68" s="130"/>
    </row>
    <row r="69" ht="14.25" customHeight="1">
      <c r="A69" s="177" t="str">
        <f>IF('2. List of IROs'!E27="","",'2. List of IROs'!E27)</f>
        <v>Opportunity E5-2</v>
      </c>
      <c r="B69" s="191" t="str">
        <f t="shared" si="53"/>
        <v/>
      </c>
      <c r="C69" s="192"/>
      <c r="D69" s="171"/>
      <c r="E69" s="171" t="str">
        <f>IFERROR(VLOOKUP(D69,'Assignment Table'!$A$15:$B$23,2,FALSE),"")</f>
        <v/>
      </c>
      <c r="F69" s="171"/>
      <c r="G69" s="171"/>
      <c r="H69" s="193" t="str">
        <f>IFERROR(VLOOKUP(G69,'Assignment Table'!$A$27:$B$35,2,FALSE),"")</f>
        <v/>
      </c>
      <c r="I69" s="193"/>
      <c r="J69" s="192"/>
      <c r="K69" s="194">
        <f t="shared" si="54"/>
        <v>0</v>
      </c>
      <c r="L69" s="192"/>
      <c r="M69" s="192"/>
      <c r="N69" s="171" t="str">
        <f t="shared" si="51"/>
        <v/>
      </c>
      <c r="O69" s="173" t="str">
        <f t="shared" si="52"/>
        <v/>
      </c>
      <c r="P69" s="130"/>
      <c r="Q69" s="130"/>
      <c r="R69" s="130"/>
      <c r="S69" s="130"/>
      <c r="T69" s="130"/>
      <c r="U69" s="130"/>
      <c r="V69" s="130"/>
      <c r="W69" s="130"/>
      <c r="X69" s="130"/>
      <c r="Y69" s="130"/>
      <c r="Z69" s="130"/>
      <c r="AA69" s="130"/>
    </row>
    <row r="70" ht="14.25" customHeight="1">
      <c r="A70" s="199" t="str">
        <f>IF('2. List of IROs'!E28="","",'2. List of IROs'!E28)</f>
        <v>Opportunity E5-3</v>
      </c>
      <c r="B70" s="200" t="str">
        <f t="shared" si="53"/>
        <v/>
      </c>
      <c r="C70" s="201"/>
      <c r="D70" s="202"/>
      <c r="E70" s="202" t="str">
        <f>IFERROR(VLOOKUP(D70,'Assignment Table'!$A$15:$B$23,2,FALSE),"")</f>
        <v/>
      </c>
      <c r="F70" s="202"/>
      <c r="G70" s="202"/>
      <c r="H70" s="203" t="str">
        <f>IFERROR(VLOOKUP(G70,'Assignment Table'!$A$27:$B$35,2,FALSE),"")</f>
        <v/>
      </c>
      <c r="I70" s="203"/>
      <c r="J70" s="201"/>
      <c r="K70" s="204"/>
      <c r="L70" s="201"/>
      <c r="M70" s="201"/>
      <c r="N70" s="202" t="str">
        <f t="shared" si="51"/>
        <v/>
      </c>
      <c r="O70" s="181" t="str">
        <f t="shared" si="52"/>
        <v/>
      </c>
      <c r="P70" s="130"/>
      <c r="Q70" s="130"/>
      <c r="R70" s="130"/>
      <c r="S70" s="130"/>
      <c r="T70" s="130"/>
      <c r="U70" s="130"/>
      <c r="V70" s="130"/>
      <c r="W70" s="130"/>
      <c r="X70" s="130"/>
      <c r="Y70" s="130"/>
      <c r="Z70" s="130"/>
      <c r="AA70" s="130"/>
    </row>
    <row r="71"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row>
    <row r="72"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row>
    <row r="73"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row>
    <row r="74"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row>
    <row r="75"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row>
    <row r="76"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row>
    <row r="77"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row>
    <row r="78"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row>
    <row r="79"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row>
    <row r="80"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row>
    <row r="81"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row>
    <row r="82"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row>
    <row r="83"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row>
    <row r="84"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row>
    <row r="85"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row>
    <row r="86"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row>
    <row r="87"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row>
    <row r="88"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row>
    <row r="89"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row>
    <row r="90"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row>
    <row r="91"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row>
    <row r="92"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row>
    <row r="93"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row>
    <row r="94"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row>
    <row r="95"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row>
    <row r="96"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row>
    <row r="97"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row>
    <row r="98"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row>
    <row r="99"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row>
    <row r="100"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row>
    <row r="101"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row>
    <row r="102"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row>
    <row r="103"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row>
    <row r="104"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row>
    <row r="105"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row>
    <row r="106"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row>
    <row r="107"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row>
    <row r="108"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row>
    <row r="109"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row>
    <row r="110"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row>
    <row r="111"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row>
    <row r="112"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row>
    <row r="113"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row>
    <row r="114"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row>
    <row r="115"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row>
    <row r="116"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row>
    <row r="117"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row>
    <row r="118"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row>
    <row r="119"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row>
    <row r="120"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row>
    <row r="121"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row>
    <row r="122"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row>
    <row r="123"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row>
    <row r="124"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row>
    <row r="125"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row>
    <row r="126"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row>
    <row r="127"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row>
    <row r="128"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row>
    <row r="129"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row>
    <row r="130"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row>
    <row r="131"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row>
    <row r="132"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row>
    <row r="133"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row>
    <row r="134"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row>
    <row r="135"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row>
    <row r="136"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row>
    <row r="137"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row>
    <row r="138"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row>
    <row r="139"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row>
    <row r="140"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row>
    <row r="141"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row>
    <row r="142"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row>
    <row r="143"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row>
    <row r="144"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row>
    <row r="145"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row>
    <row r="146"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row>
    <row r="147"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row>
    <row r="148"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row>
    <row r="149"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row>
    <row r="150"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row>
    <row r="151"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row>
    <row r="152"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row>
    <row r="153"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row>
    <row r="154"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row>
    <row r="155"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row>
    <row r="156"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row>
    <row r="157"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row>
    <row r="158"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row>
    <row r="159"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row>
    <row r="160"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row>
    <row r="161"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row>
    <row r="162"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row>
    <row r="163"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row>
    <row r="164"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row>
    <row r="165"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row>
    <row r="166"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row>
    <row r="167"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row>
    <row r="168"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row>
    <row r="169"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row>
    <row r="170"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row>
    <row r="171"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row>
    <row r="172"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row>
    <row r="173"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row>
    <row r="174"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row>
    <row r="175"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row>
    <row r="176"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row>
    <row r="177"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row>
    <row r="178"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row>
    <row r="179"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row>
    <row r="180"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row>
    <row r="181"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row>
    <row r="182"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row>
    <row r="183"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row>
    <row r="184"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row>
    <row r="185"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row>
    <row r="186"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row>
    <row r="187"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row>
    <row r="18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row>
    <row r="189"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row>
    <row r="190"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row>
    <row r="191"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row>
    <row r="192"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row>
    <row r="193"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row>
    <row r="194"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row>
    <row r="195"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row>
    <row r="196"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row>
    <row r="197"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row>
    <row r="19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row>
    <row r="199"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row>
    <row r="200"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row>
    <row r="201"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row>
    <row r="202"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row>
    <row r="203"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row>
    <row r="204"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row>
    <row r="205"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row>
    <row r="206"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row>
    <row r="207"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row>
    <row r="20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row>
    <row r="209"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row>
    <row r="210"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row>
    <row r="211"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row>
    <row r="212"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row>
    <row r="213"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row>
    <row r="214"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row>
    <row r="215"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row>
    <row r="216"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row>
    <row r="217"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row>
    <row r="21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row>
    <row r="219"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row>
    <row r="220"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row>
    <row r="221"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row>
    <row r="222"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row>
    <row r="223"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row>
    <row r="224"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row>
    <row r="225"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row>
    <row r="226" ht="14.2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row>
    <row r="227" ht="14.2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row>
    <row r="228" ht="14.2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row>
    <row r="229" ht="14.2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row>
    <row r="230" ht="14.2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row>
    <row r="231" ht="14.2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row>
    <row r="232" ht="14.2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row>
    <row r="233" ht="14.2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row>
    <row r="234" ht="14.2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row>
    <row r="235" ht="14.2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row>
    <row r="236" ht="14.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row>
    <row r="237" ht="14.2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row>
    <row r="238" ht="14.2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row>
    <row r="239" ht="14.2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row>
    <row r="240" ht="14.2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row>
    <row r="241" ht="14.2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row>
    <row r="242" ht="14.2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row>
    <row r="243" ht="14.2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row>
    <row r="244" ht="14.2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row>
    <row r="245" ht="14.2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row>
    <row r="246" ht="14.2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row>
    <row r="247" ht="14.2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row>
    <row r="248" ht="14.2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row>
    <row r="249" ht="14.2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row>
    <row r="250" ht="14.2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row>
    <row r="251" ht="14.2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row>
    <row r="252" ht="14.2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row>
    <row r="253" ht="14.2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row>
    <row r="254" ht="14.2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row>
    <row r="255" ht="14.2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row>
    <row r="256" ht="14.2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row>
    <row r="257" ht="14.2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row>
    <row r="258" ht="14.2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row>
    <row r="259" ht="14.2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row>
    <row r="260" ht="14.2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row>
    <row r="261" ht="14.2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row>
    <row r="262" ht="14.2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row>
    <row r="263" ht="14.2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row>
    <row r="264" ht="14.2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row>
    <row r="265" ht="14.2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row>
    <row r="266" ht="14.2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row>
    <row r="267" ht="14.2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row>
    <row r="268" ht="14.2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row>
    <row r="269" ht="14.2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row>
    <row r="270" ht="14.2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row>
    <row r="271" ht="14.2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row>
    <row r="272" ht="14.2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row>
    <row r="273" ht="14.2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row>
    <row r="274" ht="14.2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row>
    <row r="275" ht="14.2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row>
    <row r="276" ht="14.2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row>
    <row r="277" ht="14.2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row>
    <row r="278" ht="14.2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row>
    <row r="279" ht="14.2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row>
    <row r="280" ht="14.2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row>
    <row r="281" ht="14.2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row>
    <row r="282" ht="14.2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row>
    <row r="283" ht="14.2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row>
    <row r="284" ht="14.2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row>
    <row r="285" ht="14.2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row>
    <row r="286" ht="14.2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row>
    <row r="287" ht="14.2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row>
    <row r="288" ht="14.2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row>
    <row r="289" ht="14.2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row>
    <row r="290" ht="14.2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row>
    <row r="291" ht="14.2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row>
    <row r="292" ht="14.2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row>
    <row r="293" ht="14.2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row>
    <row r="294" ht="14.2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row>
    <row r="295" ht="14.2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row>
    <row r="296" ht="14.2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row>
    <row r="297" ht="14.2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row>
    <row r="298" ht="14.2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row>
    <row r="299" ht="14.2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row>
    <row r="300" ht="14.2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row>
    <row r="301" ht="14.2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row>
    <row r="302" ht="14.2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row>
    <row r="303" ht="14.2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row>
    <row r="304" ht="14.2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row>
    <row r="305" ht="14.2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row>
    <row r="306" ht="14.2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row>
    <row r="307" ht="14.2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row>
    <row r="308" ht="14.2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row>
    <row r="309" ht="14.2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row>
    <row r="310" ht="14.2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row>
    <row r="311" ht="14.2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row>
    <row r="312" ht="14.2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row>
    <row r="313" ht="14.2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row>
    <row r="314" ht="14.2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row>
    <row r="315" ht="14.2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row>
    <row r="316" ht="14.2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row>
    <row r="317" ht="14.2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row>
    <row r="318" ht="14.2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row>
    <row r="319" ht="14.2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row>
    <row r="320" ht="14.2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row>
    <row r="321" ht="14.2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row>
    <row r="322" ht="14.2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row>
    <row r="323" ht="14.2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row>
    <row r="324" ht="14.2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row>
    <row r="325" ht="14.2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row>
    <row r="326" ht="14.2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row>
    <row r="327" ht="14.2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row>
    <row r="328" ht="14.2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row>
    <row r="329" ht="14.2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row>
    <row r="330" ht="14.2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row>
    <row r="331" ht="14.2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row>
    <row r="332" ht="14.2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row>
    <row r="333" ht="14.2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row>
    <row r="334" ht="14.2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row>
    <row r="335" ht="14.2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row>
    <row r="336" ht="14.2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row>
    <row r="337" ht="14.2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row>
    <row r="338" ht="14.2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row>
    <row r="339" ht="14.2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row>
    <row r="340" ht="14.2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row>
    <row r="341" ht="14.2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row>
    <row r="342" ht="14.2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row>
    <row r="343" ht="14.2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row>
    <row r="344" ht="14.2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row>
    <row r="345" ht="14.2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row>
    <row r="346" ht="14.2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row>
    <row r="347" ht="14.2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row>
    <row r="348" ht="14.2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row>
    <row r="349" ht="14.2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row>
    <row r="350" ht="14.2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row>
    <row r="351" ht="14.2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row>
    <row r="352" ht="14.2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row>
    <row r="353" ht="14.2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row>
    <row r="354" ht="14.2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row>
    <row r="355" ht="14.2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row>
    <row r="356" ht="14.2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row>
    <row r="357" ht="14.2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row>
    <row r="358" ht="14.2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row>
    <row r="359" ht="14.2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row>
    <row r="360" ht="14.2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row>
    <row r="361" ht="14.2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row>
    <row r="362" ht="14.2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row>
    <row r="363" ht="14.2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row>
    <row r="364" ht="14.2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row>
    <row r="365" ht="14.2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row>
    <row r="366" ht="14.2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row>
    <row r="367" ht="14.2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row>
    <row r="368" ht="14.2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row>
    <row r="369" ht="14.2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row>
    <row r="370" ht="14.2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row>
    <row r="371" ht="14.2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row>
    <row r="372" ht="14.2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row>
    <row r="373" ht="14.2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row>
    <row r="374" ht="14.2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row>
    <row r="375" ht="14.2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row>
    <row r="376" ht="14.2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row>
    <row r="377" ht="14.2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row>
    <row r="378" ht="14.2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row>
    <row r="379" ht="14.2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row>
    <row r="380" ht="14.2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row>
    <row r="381" ht="14.2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row>
    <row r="382" ht="14.2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row>
    <row r="383" ht="14.2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row>
    <row r="384" ht="14.2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row>
    <row r="385" ht="14.2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row>
    <row r="386" ht="14.2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row>
    <row r="387" ht="14.2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row>
    <row r="388" ht="14.2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row>
    <row r="389" ht="14.2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row>
    <row r="390" ht="14.2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row>
    <row r="391" ht="14.2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row>
    <row r="392" ht="14.2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row>
    <row r="393" ht="14.2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row>
    <row r="394" ht="14.2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row>
    <row r="395" ht="14.2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row>
    <row r="396" ht="14.2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row>
    <row r="397" ht="14.2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row>
    <row r="398" ht="14.2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row>
    <row r="399" ht="14.2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row>
    <row r="400" ht="14.2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row>
    <row r="401" ht="14.2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row>
    <row r="402" ht="14.2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row>
    <row r="403" ht="14.2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row>
    <row r="404" ht="14.2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row>
    <row r="405" ht="14.2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row>
    <row r="406" ht="14.2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row>
    <row r="407" ht="14.2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row>
    <row r="408" ht="14.2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row>
    <row r="409" ht="14.2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row>
    <row r="410" ht="14.2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row>
    <row r="411" ht="14.2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row>
    <row r="412" ht="14.2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row>
    <row r="413" ht="14.2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row>
    <row r="414" ht="14.2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row>
    <row r="415" ht="14.2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row>
    <row r="416" ht="14.2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row>
    <row r="417" ht="14.2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row>
    <row r="418" ht="14.2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row>
    <row r="419" ht="14.2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row>
    <row r="420" ht="14.2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row>
    <row r="421" ht="14.2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row>
    <row r="422" ht="14.2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row>
    <row r="423" ht="14.2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row>
    <row r="424" ht="14.2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row>
    <row r="425" ht="14.2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row>
    <row r="426" ht="14.2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row>
    <row r="427" ht="14.2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row>
    <row r="428" ht="14.2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row>
    <row r="429" ht="14.2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row>
    <row r="430" ht="14.2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row>
    <row r="431" ht="14.2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row>
    <row r="432" ht="14.2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row>
    <row r="433" ht="14.2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row>
    <row r="434" ht="14.2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row>
    <row r="435" ht="14.2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row>
    <row r="436" ht="14.2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row>
    <row r="437" ht="14.2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row>
    <row r="438" ht="14.2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row>
    <row r="439" ht="14.2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row>
    <row r="440" ht="14.2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row>
    <row r="441" ht="14.2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row>
    <row r="442" ht="14.2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row>
    <row r="443" ht="14.2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row>
    <row r="444" ht="14.2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row>
    <row r="445" ht="14.2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row>
    <row r="446" ht="14.2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row>
    <row r="447" ht="14.2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row>
    <row r="448" ht="14.2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row>
    <row r="449" ht="14.2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row>
    <row r="450" ht="14.2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row>
    <row r="451" ht="14.2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row>
    <row r="452" ht="14.2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row>
    <row r="453" ht="14.2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row>
    <row r="454" ht="14.2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row>
    <row r="455" ht="14.2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row>
    <row r="456" ht="14.2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row>
    <row r="457" ht="14.2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row>
    <row r="458" ht="14.2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row>
    <row r="459" ht="14.2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row>
    <row r="460" ht="14.2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row>
    <row r="461" ht="14.2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row>
    <row r="462" ht="14.2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row>
    <row r="463" ht="14.2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row>
    <row r="464" ht="14.2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row>
    <row r="465" ht="14.2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row>
    <row r="466" ht="14.2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row>
    <row r="467" ht="14.2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row>
    <row r="468" ht="14.2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row>
    <row r="469" ht="14.2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row>
    <row r="470" ht="14.2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row>
    <row r="471" ht="14.2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row>
    <row r="472" ht="14.2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row>
    <row r="473" ht="14.2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row>
    <row r="474" ht="14.2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row>
    <row r="475" ht="14.2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row>
    <row r="476" ht="14.2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row>
    <row r="477" ht="14.2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row>
    <row r="478" ht="14.2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row>
    <row r="479" ht="14.2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row>
    <row r="480" ht="14.2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row>
    <row r="481" ht="14.2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row>
    <row r="482" ht="14.2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row>
    <row r="483" ht="14.2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row>
    <row r="484" ht="14.2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row>
    <row r="485" ht="14.2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row>
    <row r="486" ht="14.2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row>
    <row r="487" ht="14.2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row>
    <row r="488" ht="14.2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row>
    <row r="489" ht="14.2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row>
    <row r="490" ht="14.2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row>
    <row r="491" ht="14.2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row>
    <row r="492" ht="14.2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row>
    <row r="493" ht="14.2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row>
    <row r="494" ht="14.2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row>
    <row r="495" ht="14.2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row>
    <row r="496" ht="14.2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row>
    <row r="497" ht="14.2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row>
    <row r="498" ht="14.2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row>
    <row r="499" ht="14.2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row>
    <row r="500" ht="14.2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row>
    <row r="501" ht="14.2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row>
    <row r="502" ht="14.2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row>
    <row r="503" ht="14.2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row>
    <row r="504" ht="14.2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row>
    <row r="505" ht="14.2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row>
    <row r="506" ht="14.2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row>
    <row r="507" ht="14.2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row>
    <row r="508" ht="14.2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row>
    <row r="509" ht="14.2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row>
    <row r="510" ht="14.2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row>
    <row r="511" ht="14.2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row>
    <row r="512" ht="14.2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row>
    <row r="513" ht="14.2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row>
    <row r="514" ht="14.2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row>
    <row r="515" ht="14.2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row>
    <row r="516" ht="14.2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row>
    <row r="517" ht="14.2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row>
    <row r="518" ht="14.2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row>
    <row r="519" ht="14.2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row>
    <row r="520" ht="14.2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row>
    <row r="521" ht="14.2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row>
    <row r="522" ht="14.2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row>
    <row r="523" ht="14.2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row>
    <row r="524" ht="14.2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row>
    <row r="525" ht="14.2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row>
    <row r="526" ht="14.2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row>
    <row r="527" ht="14.2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row>
    <row r="528" ht="14.2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row>
    <row r="529" ht="14.2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row>
    <row r="530" ht="14.2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row>
    <row r="531" ht="14.2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row>
    <row r="532" ht="14.2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row>
    <row r="533" ht="14.2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row>
    <row r="534" ht="14.2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row>
    <row r="535" ht="14.2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row>
    <row r="536" ht="14.2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row>
    <row r="537" ht="14.2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row>
    <row r="538" ht="14.2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row>
    <row r="539" ht="14.2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row>
    <row r="540" ht="14.2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row>
    <row r="541" ht="14.2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row>
    <row r="542" ht="14.2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row>
    <row r="543" ht="14.2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row>
    <row r="544" ht="14.2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row>
    <row r="545" ht="14.2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row>
    <row r="546" ht="14.2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row>
    <row r="547" ht="14.2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row>
    <row r="548" ht="14.2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row>
    <row r="549" ht="14.2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row>
    <row r="550" ht="14.2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row>
    <row r="551" ht="14.2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row>
    <row r="552" ht="14.2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row>
    <row r="553" ht="14.2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row>
    <row r="554" ht="14.2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row>
    <row r="555" ht="14.2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row>
    <row r="556" ht="14.2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row>
    <row r="557" ht="14.2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row>
    <row r="558" ht="14.2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row>
    <row r="559" ht="14.2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row>
    <row r="560" ht="14.2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row>
    <row r="561" ht="14.2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row>
    <row r="562" ht="14.2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row>
    <row r="563" ht="14.2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c r="AA563" s="130"/>
    </row>
    <row r="564" ht="14.2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c r="AA564" s="130"/>
    </row>
    <row r="565" ht="14.2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row>
    <row r="566" ht="14.2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row>
    <row r="567" ht="14.2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row>
    <row r="568" ht="14.2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row>
    <row r="569" ht="14.2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row>
    <row r="570" ht="14.2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row>
    <row r="571" ht="14.2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row>
    <row r="572" ht="14.2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row>
    <row r="573" ht="14.2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row>
    <row r="574" ht="14.2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row>
    <row r="575" ht="14.2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row>
    <row r="576" ht="14.2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row>
    <row r="577" ht="14.2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row>
    <row r="578" ht="14.2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row>
    <row r="579" ht="14.2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row>
    <row r="580" ht="14.2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row>
    <row r="581" ht="14.2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row>
    <row r="582" ht="14.2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row>
    <row r="583" ht="14.2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row>
    <row r="584" ht="14.2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row>
    <row r="585" ht="14.2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row>
    <row r="586" ht="14.2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row>
    <row r="587" ht="14.2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row>
    <row r="588" ht="14.2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row>
    <row r="589" ht="14.2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row>
    <row r="590" ht="14.2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row>
    <row r="591" ht="14.2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row>
    <row r="592" ht="14.2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row>
    <row r="593" ht="14.2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row>
    <row r="594" ht="14.2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row>
    <row r="595" ht="14.2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c r="AA595" s="130"/>
    </row>
    <row r="596" ht="14.2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c r="AA596" s="130"/>
    </row>
    <row r="597" ht="14.2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row>
    <row r="598" ht="14.2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row>
    <row r="599" ht="14.2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row>
    <row r="600" ht="14.2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row>
    <row r="601" ht="14.2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row>
    <row r="602" ht="14.2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row>
    <row r="603" ht="14.2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row>
    <row r="604" ht="14.2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row>
    <row r="605" ht="14.2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row>
    <row r="606" ht="14.2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row>
    <row r="607" ht="14.2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row>
    <row r="608" ht="14.2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row>
    <row r="609" ht="14.2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row>
    <row r="610" ht="14.2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row>
    <row r="611" ht="14.2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row>
    <row r="612" ht="14.2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row>
    <row r="613" ht="14.2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row>
    <row r="614" ht="14.2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row>
    <row r="615" ht="14.2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row>
    <row r="616" ht="14.2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row>
    <row r="617" ht="14.2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row>
    <row r="618" ht="14.2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row>
    <row r="619" ht="14.2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row>
    <row r="620" ht="14.2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row>
    <row r="621" ht="14.2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row>
    <row r="622" ht="14.2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row>
    <row r="623" ht="14.2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row>
    <row r="624" ht="14.2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row>
    <row r="625" ht="14.2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row>
    <row r="626" ht="14.2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row>
    <row r="627" ht="14.2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row>
    <row r="628" ht="14.2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c r="AA628" s="130"/>
    </row>
    <row r="629" ht="14.2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c r="AA629" s="130"/>
    </row>
    <row r="630" ht="14.2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c r="AA630" s="130"/>
    </row>
    <row r="631" ht="14.2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row>
    <row r="632" ht="14.2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row>
    <row r="633" ht="14.2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row>
    <row r="634" ht="14.2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row>
    <row r="635" ht="14.2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row>
    <row r="636" ht="14.2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row>
    <row r="637" ht="14.2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row>
    <row r="638" ht="14.2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row>
    <row r="639" ht="14.2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row>
    <row r="640" ht="14.2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row>
    <row r="641" ht="14.2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row>
    <row r="642" ht="14.2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row>
    <row r="643" ht="14.2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row>
    <row r="644" ht="14.2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row>
    <row r="645" ht="14.2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row>
    <row r="646" ht="14.2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row>
    <row r="647" ht="14.2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row>
    <row r="648" ht="14.2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row>
    <row r="649" ht="14.2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row>
    <row r="650" ht="14.2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row>
    <row r="651" ht="14.2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row>
    <row r="652" ht="14.2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row>
    <row r="653" ht="14.2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row>
    <row r="654" ht="14.2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row>
    <row r="655" ht="14.2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row>
    <row r="656" ht="14.2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row>
    <row r="657" ht="14.2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row>
    <row r="658" ht="14.2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row>
    <row r="659" ht="14.2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row>
    <row r="660" ht="14.2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row>
    <row r="661" ht="14.2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row>
    <row r="662" ht="14.2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row>
    <row r="663" ht="14.2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row>
    <row r="664" ht="14.2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row>
    <row r="665" ht="14.2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row>
    <row r="666" ht="14.2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row>
    <row r="667" ht="14.2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row>
    <row r="668" ht="14.2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row>
    <row r="669" ht="14.2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row>
    <row r="670" ht="14.2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row>
    <row r="671" ht="14.2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row>
    <row r="672" ht="14.2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row>
    <row r="673" ht="14.2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row>
    <row r="674" ht="14.2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row>
    <row r="675" ht="14.2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row>
    <row r="676" ht="14.2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row>
    <row r="677" ht="14.2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row>
    <row r="678" ht="14.2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row>
    <row r="679" ht="14.2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row>
    <row r="680" ht="14.2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row>
    <row r="681" ht="14.2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row>
    <row r="682" ht="14.2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row>
    <row r="683" ht="14.2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row>
    <row r="684" ht="14.2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row>
    <row r="685" ht="14.2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row>
    <row r="686" ht="14.2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row>
    <row r="687" ht="14.2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row>
    <row r="688" ht="14.2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row>
    <row r="689" ht="14.2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row>
    <row r="690" ht="14.2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row>
    <row r="691" ht="14.2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row>
    <row r="692" ht="14.2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row>
    <row r="693" ht="14.2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row>
    <row r="694" ht="14.2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c r="AA694" s="130"/>
    </row>
    <row r="695" ht="14.2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c r="AA695" s="130"/>
    </row>
    <row r="696" ht="14.2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c r="AA696" s="130"/>
    </row>
    <row r="697" ht="14.2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row>
    <row r="698" ht="14.2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row>
    <row r="699" ht="14.2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row>
    <row r="700" ht="14.2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row>
    <row r="701" ht="14.2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row>
    <row r="702" ht="14.2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row>
    <row r="703" ht="14.2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row>
    <row r="704" ht="14.2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row>
    <row r="705" ht="14.2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row>
    <row r="706" ht="14.2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row>
    <row r="707" ht="14.2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row>
    <row r="708" ht="14.2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row>
    <row r="709" ht="14.2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row>
    <row r="710" ht="14.2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row>
    <row r="711" ht="14.2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row>
    <row r="712" ht="14.2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row>
    <row r="713" ht="14.2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row>
    <row r="714" ht="14.2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row>
    <row r="715" ht="14.2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row>
    <row r="716" ht="14.2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row>
    <row r="717" ht="14.2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row>
    <row r="718" ht="14.2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row>
    <row r="719" ht="14.2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row>
    <row r="720" ht="14.2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row>
    <row r="721" ht="14.2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row>
    <row r="722" ht="14.2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row>
    <row r="723" ht="14.2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row>
    <row r="724" ht="14.2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row>
    <row r="725" ht="14.2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row>
    <row r="726" ht="14.2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row>
    <row r="727" ht="14.2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row>
    <row r="728" ht="14.2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c r="AA728" s="130"/>
    </row>
    <row r="729" ht="14.2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row>
    <row r="730" ht="14.2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row>
    <row r="731" ht="14.2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row>
    <row r="732" ht="14.2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row>
    <row r="733" ht="14.2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row>
    <row r="734" ht="14.2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row>
    <row r="735" ht="14.2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row>
    <row r="736" ht="14.2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row>
    <row r="737" ht="14.2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row>
    <row r="738" ht="14.2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row>
    <row r="739" ht="14.2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row>
    <row r="740" ht="14.2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row>
    <row r="741" ht="14.2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row>
    <row r="742" ht="14.2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row>
    <row r="743" ht="14.2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row>
    <row r="744" ht="14.2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row>
    <row r="745" ht="14.2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row>
    <row r="746" ht="14.2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row>
    <row r="747" ht="14.2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row>
    <row r="748" ht="14.2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row>
    <row r="749" ht="14.2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row>
    <row r="750" ht="14.2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row>
    <row r="751" ht="14.2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row>
    <row r="752" ht="14.2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row>
    <row r="753" ht="14.2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row>
    <row r="754" ht="14.2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row>
    <row r="755" ht="14.2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row>
    <row r="756" ht="14.2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row>
    <row r="757" ht="14.2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row>
    <row r="758" ht="14.2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row>
    <row r="759" ht="14.2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row>
    <row r="760" ht="14.2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c r="AA760" s="130"/>
    </row>
    <row r="761" ht="14.2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c r="AA761" s="130"/>
    </row>
    <row r="762" ht="14.2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c r="AA762" s="130"/>
    </row>
    <row r="763" ht="14.2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row>
    <row r="764" ht="14.2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row>
    <row r="765" ht="14.2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row>
    <row r="766" ht="14.2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row>
    <row r="767" ht="14.2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row>
    <row r="768" ht="14.2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row>
    <row r="769" ht="14.2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row>
    <row r="770" ht="14.2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row>
    <row r="771" ht="14.2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row>
    <row r="772" ht="14.2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row>
    <row r="773" ht="14.2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row>
    <row r="774" ht="14.2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row>
    <row r="775" ht="14.2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row>
    <row r="776" ht="14.2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row>
    <row r="777" ht="14.2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row>
    <row r="778" ht="14.2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row>
    <row r="779" ht="14.2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row>
    <row r="780" ht="14.2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row>
    <row r="781" ht="14.2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row>
    <row r="782" ht="14.2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row>
    <row r="783" ht="14.2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row>
    <row r="784" ht="14.2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row>
    <row r="785" ht="14.2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row>
    <row r="786" ht="14.2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row>
    <row r="787" ht="14.2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row>
    <row r="788" ht="14.2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row>
    <row r="789" ht="14.2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row>
    <row r="790" ht="14.2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row>
    <row r="791" ht="14.2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row>
    <row r="792" ht="14.2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row>
    <row r="793" ht="14.2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c r="AA793" s="130"/>
    </row>
    <row r="794" ht="14.2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row>
    <row r="795" ht="14.2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c r="AA795" s="130"/>
    </row>
    <row r="796" ht="14.2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row>
    <row r="797" ht="14.2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row>
    <row r="798" ht="14.2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row>
    <row r="799" ht="14.2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row>
    <row r="800" ht="14.2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row>
    <row r="801" ht="14.2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row>
    <row r="802" ht="14.2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row>
    <row r="803" ht="14.2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row>
    <row r="804" ht="14.2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row>
    <row r="805" ht="14.2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row>
    <row r="806" ht="14.2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row>
    <row r="807" ht="14.2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row>
    <row r="808" ht="14.2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row>
    <row r="809" ht="14.2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row>
    <row r="810" ht="14.2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row>
    <row r="811" ht="14.2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row>
    <row r="812" ht="14.2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row>
    <row r="813" ht="14.2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row>
    <row r="814" ht="14.2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row>
    <row r="815" ht="14.2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row>
    <row r="816" ht="14.2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row>
    <row r="817" ht="14.2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row>
    <row r="818" ht="14.2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row>
    <row r="819" ht="14.2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row>
    <row r="820" ht="14.2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row>
    <row r="821" ht="14.2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row>
    <row r="822" ht="14.2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row>
    <row r="823" ht="14.2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row>
    <row r="824" ht="14.2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row>
    <row r="825" ht="14.2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row>
    <row r="826" ht="14.2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c r="AA826" s="130"/>
    </row>
    <row r="827" ht="14.2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c r="AA827" s="130"/>
    </row>
    <row r="828" ht="14.2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c r="AA828" s="130"/>
    </row>
    <row r="829" ht="14.2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row>
    <row r="830" ht="14.2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row>
    <row r="831" ht="14.2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row>
    <row r="832" ht="14.2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row>
    <row r="833" ht="14.2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row>
    <row r="834" ht="14.2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row>
    <row r="835" ht="14.2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row>
    <row r="836" ht="14.2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row>
    <row r="837" ht="14.2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row>
    <row r="838" ht="14.2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row>
    <row r="839" ht="14.2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row>
    <row r="840" ht="14.2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row>
    <row r="841" ht="14.2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row>
    <row r="842" ht="14.2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row>
    <row r="843" ht="14.2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row>
    <row r="844" ht="14.2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row>
    <row r="845" ht="14.2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row>
    <row r="846" ht="14.2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row>
    <row r="847" ht="14.2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row>
    <row r="848" ht="14.2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row>
    <row r="849" ht="14.2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row>
    <row r="850" ht="14.2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row>
    <row r="851" ht="14.2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row>
    <row r="852" ht="14.2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row>
    <row r="853" ht="14.2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row>
    <row r="854" ht="14.2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row>
    <row r="855" ht="14.2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row>
    <row r="856" ht="14.2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row>
    <row r="857" ht="14.2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row>
    <row r="858" ht="14.2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row>
    <row r="859" ht="14.2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c r="AA859" s="130"/>
    </row>
    <row r="860" ht="14.2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c r="AA860" s="130"/>
    </row>
    <row r="861" ht="14.2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c r="AA861" s="130"/>
    </row>
    <row r="862" ht="14.2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row>
    <row r="863" ht="14.2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row>
    <row r="864" ht="14.2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row>
    <row r="865" ht="14.2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row>
    <row r="866" ht="14.2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row>
    <row r="867" ht="14.2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row>
    <row r="868" ht="14.2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row>
    <row r="869" ht="14.2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row>
    <row r="870" ht="14.2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row>
    <row r="871" ht="14.2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row>
    <row r="872" ht="14.2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row>
    <row r="873" ht="14.2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row>
    <row r="874" ht="14.2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row>
    <row r="875" ht="14.2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row>
    <row r="876" ht="14.2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row>
    <row r="877" ht="14.2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row>
    <row r="878" ht="14.2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row>
    <row r="879" ht="14.2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row>
    <row r="880" ht="14.2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row>
    <row r="881" ht="14.2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row>
    <row r="882" ht="14.2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row>
    <row r="883" ht="14.2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row>
    <row r="884" ht="14.2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row>
    <row r="885" ht="14.2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row>
    <row r="886" ht="14.2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row>
    <row r="887" ht="14.2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row>
    <row r="888" ht="14.2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row>
    <row r="889" ht="14.2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row>
    <row r="890" ht="14.2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row>
    <row r="891" ht="14.2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row>
    <row r="892" ht="14.2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c r="AA892" s="130"/>
    </row>
    <row r="893" ht="14.2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c r="AA893" s="130"/>
    </row>
    <row r="894" ht="14.2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c r="AA894" s="130"/>
    </row>
    <row r="895" ht="14.2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row>
    <row r="896" ht="14.2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row>
    <row r="897" ht="14.2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row>
    <row r="898" ht="14.2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row>
    <row r="899" ht="14.2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row>
    <row r="900" ht="14.2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row>
    <row r="901" ht="14.2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row>
    <row r="902" ht="14.2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row>
    <row r="903" ht="14.2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row>
    <row r="904" ht="14.2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row>
    <row r="905" ht="14.2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row>
    <row r="906" ht="14.2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row>
    <row r="907" ht="14.2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row>
    <row r="908" ht="14.2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row>
    <row r="909" ht="14.2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row>
    <row r="910" ht="14.2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row>
    <row r="911" ht="14.2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row>
    <row r="912" ht="14.2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row>
    <row r="913" ht="14.2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row>
    <row r="914" ht="14.2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row>
    <row r="915" ht="14.2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row>
    <row r="916" ht="14.2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row>
    <row r="917" ht="14.2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row>
    <row r="918" ht="14.2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row>
    <row r="919" ht="14.2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row>
    <row r="920" ht="14.2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row>
    <row r="921" ht="14.2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row>
    <row r="922" ht="14.2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row>
    <row r="923" ht="14.2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row>
    <row r="924" ht="14.2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row>
    <row r="925" ht="14.2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row>
    <row r="926" ht="14.2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row>
    <row r="927" ht="14.2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c r="AA927" s="130"/>
    </row>
    <row r="928" ht="14.2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row>
    <row r="929" ht="14.2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row>
    <row r="930" ht="14.2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row>
    <row r="931" ht="14.2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row>
    <row r="932" ht="14.2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row>
    <row r="933" ht="14.2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row>
    <row r="934" ht="14.2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row>
    <row r="935" ht="14.2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row>
    <row r="936" ht="14.2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row>
    <row r="937" ht="14.2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row>
    <row r="938" ht="14.2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row>
    <row r="939" ht="14.2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row>
    <row r="940" ht="14.2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row>
    <row r="941" ht="14.2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row>
    <row r="942" ht="14.2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row>
    <row r="943" ht="14.2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row>
    <row r="944" ht="14.2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row>
    <row r="945" ht="14.2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row>
    <row r="946" ht="14.2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row>
    <row r="947" ht="14.2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row>
    <row r="948" ht="14.2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row>
    <row r="949" ht="14.2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row>
    <row r="950" ht="14.2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row>
    <row r="951" ht="14.2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row>
    <row r="952" ht="14.2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row>
    <row r="953" ht="14.2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row>
    <row r="954" ht="14.2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row>
    <row r="955" ht="14.2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row>
    <row r="956" ht="14.2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row>
    <row r="957" ht="14.2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row>
    <row r="958" ht="14.2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c r="AA958" s="130"/>
    </row>
    <row r="959" ht="14.2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c r="AA959" s="130"/>
    </row>
    <row r="960" ht="14.2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c r="AA960" s="130"/>
    </row>
    <row r="961" ht="14.2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row>
    <row r="962" ht="14.2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row>
    <row r="963" ht="14.2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row>
    <row r="964" ht="14.2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row>
    <row r="965" ht="14.2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row>
    <row r="966" ht="14.2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row>
    <row r="967" ht="14.2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row>
    <row r="968" ht="14.2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row>
    <row r="969" ht="14.2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row>
    <row r="970" ht="14.2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row>
    <row r="971" ht="14.2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row>
    <row r="972" ht="14.2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row>
    <row r="973" ht="14.2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row>
    <row r="974" ht="14.2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row>
    <row r="975" ht="14.2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row>
    <row r="976" ht="14.2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row>
    <row r="977" ht="14.2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row>
    <row r="978" ht="14.2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row>
    <row r="979" ht="14.2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row>
    <row r="980" ht="14.2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row>
    <row r="981" ht="14.2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row>
    <row r="982" ht="14.2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row>
    <row r="983" ht="14.2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row>
    <row r="984" ht="14.2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row>
    <row r="985" ht="14.2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row>
    <row r="986" ht="14.2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row>
    <row r="987" ht="14.2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row>
    <row r="988" ht="14.2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row>
    <row r="989" ht="14.2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row>
    <row r="990" ht="14.2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row>
    <row r="991" ht="14.2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row>
    <row r="992" ht="14.2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c r="AA992" s="130"/>
    </row>
    <row r="993" ht="14.2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row>
    <row r="994" ht="14.2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row>
    <row r="995" ht="14.2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row>
    <row r="996" ht="14.2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row>
    <row r="997" ht="14.2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row>
    <row r="998" ht="14.2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row>
    <row r="999" ht="14.2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row>
    <row r="1000" ht="14.2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row>
    <row r="1001" ht="14.25" customHeight="1">
      <c r="A1001" s="130"/>
      <c r="B1001" s="130"/>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row>
    <row r="1002" ht="14.25" customHeight="1">
      <c r="A1002" s="130"/>
      <c r="B1002" s="130"/>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row>
    <row r="1003" ht="14.25" customHeight="1">
      <c r="A1003" s="130"/>
      <c r="B1003" s="130"/>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c r="AA1003" s="130"/>
    </row>
    <row r="1004" ht="14.25" customHeight="1">
      <c r="A1004" s="130"/>
      <c r="B1004" s="130"/>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c r="AA1004" s="130"/>
    </row>
    <row r="1005" ht="14.25" customHeight="1">
      <c r="A1005" s="130"/>
      <c r="B1005" s="130"/>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c r="AA1005" s="130"/>
    </row>
    <row r="1006" ht="14.25" customHeight="1">
      <c r="A1006" s="130"/>
      <c r="B1006" s="130"/>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row>
    <row r="1007" ht="14.25" customHeight="1">
      <c r="A1007" s="130"/>
      <c r="B1007" s="130"/>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c r="AA1007" s="130"/>
    </row>
    <row r="1008" ht="14.25" customHeight="1">
      <c r="A1008" s="130"/>
      <c r="B1008" s="130"/>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row>
    <row r="1009" ht="14.25" customHeight="1">
      <c r="A1009" s="130"/>
      <c r="B1009" s="130"/>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row>
  </sheetData>
  <mergeCells count="7">
    <mergeCell ref="A1:O1"/>
    <mergeCell ref="A2:O2"/>
    <mergeCell ref="A30:O30"/>
    <mergeCell ref="A37:O37"/>
    <mergeCell ref="A52:O52"/>
    <mergeCell ref="A57:O57"/>
    <mergeCell ref="A64:O64"/>
  </mergeCells>
  <conditionalFormatting sqref="A1:AA1 A2:B2 P2:AA2">
    <cfRule type="containsText" dxfId="0" priority="1" operator="containsText" text="yes">
      <formula>NOT(ISERROR(SEARCH(("yes"),(A1))))</formula>
    </cfRule>
  </conditionalFormatting>
  <conditionalFormatting sqref="D5:L7 D9:L15 D17:L18 D20:L22 D24:L26">
    <cfRule type="containsText" dxfId="1" priority="2" operator="containsText" text="mittel">
      <formula>NOT(ISERROR(SEARCH(("mittel"),(D5))))</formula>
    </cfRule>
  </conditionalFormatting>
  <conditionalFormatting sqref="D5:L7 D9:L15 D17:L18 D20:L22 D24:L26">
    <cfRule type="containsText" dxfId="2" priority="3" operator="containsText" text="niedrig">
      <formula>NOT(ISERROR(SEARCH(("niedrig"),(D5))))</formula>
    </cfRule>
  </conditionalFormatting>
  <conditionalFormatting sqref="D5:L7 D9:L15 D17:L18 D20:L22 D24:L26">
    <cfRule type="containsText" dxfId="3" priority="4" operator="containsText" text="hoch">
      <formula>NOT(ISERROR(SEARCH(("hoch"),(D5))))</formula>
    </cfRule>
  </conditionalFormatting>
  <conditionalFormatting sqref="J5:K7">
    <cfRule type="expression" dxfId="4" priority="5">
      <formula>OR(C5="Actual positive", C5="Potential positive")</formula>
    </cfRule>
  </conditionalFormatting>
  <conditionalFormatting sqref="J9:K15">
    <cfRule type="expression" dxfId="4" priority="6">
      <formula>OR(C9="Acutal positive", C9="Potential positive")</formula>
    </cfRule>
  </conditionalFormatting>
  <conditionalFormatting sqref="J17:K18">
    <cfRule type="expression" dxfId="4" priority="7">
      <formula>OR(C17="Actual positive", C17="Potential positive")</formula>
    </cfRule>
  </conditionalFormatting>
  <conditionalFormatting sqref="J20:K22">
    <cfRule type="expression" dxfId="4" priority="8">
      <formula>OR(C20="Actual positive", C20="Potential positive")</formula>
    </cfRule>
  </conditionalFormatting>
  <conditionalFormatting sqref="J24:K26">
    <cfRule type="expression" dxfId="4" priority="9">
      <formula>OR(C24="Actual positive", C24="Potential positive")</formula>
    </cfRule>
  </conditionalFormatting>
  <dataValidations>
    <dataValidation type="list" allowBlank="1" showErrorMessage="1" sqref="D5:D7 G5:G7 J5:J7 D9:D15 G9:G15 J9:J15 D17:D18 G17:G18 J17:J18 D20:D22 G20:G22 J20:J22 D24:D26 G24:G26 J24:J26">
      <formula1>'Assignment Table'!$A$3:$A$6</formula1>
    </dataValidation>
    <dataValidation type="list" allowBlank="1" showErrorMessage="1" sqref="C5:C7 C9:C15 C17:C18 C20:C22 C24:C26">
      <formula1>'Assignment Table'!$D$16:$D$19</formula1>
    </dataValidation>
    <dataValidation type="list" allowBlank="1" showErrorMessage="1" sqref="G31:G36 I38 G38:G51 G53:G56 G58:G63 G65:G70">
      <formula1>'Assignment Table'!$A$29:$A$35</formula1>
    </dataValidation>
    <dataValidation type="list" allowBlank="1" showErrorMessage="1" sqref="D31:D36 D38:D51 D53:D56 D58:D63 D65:D70">
      <formula1>'Assignment Table'!$A$17:$A$23</formula1>
    </dataValidation>
    <dataValidation type="list" allowBlank="1" showErrorMessage="1" sqref="M5:M7 M9:M15 M17:M18 M20:M22 M24:M26">
      <formula1>'Assignment Table'!$D$2:$D$11</formula1>
    </dataValidation>
  </dataValidations>
  <printOptions/>
  <pageMargins bottom="0.787401575" footer="0.0" header="0.0" left="0.7" right="0.7"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BE4D5"/>
    <pageSetUpPr/>
  </sheetPr>
  <sheetViews>
    <sheetView workbookViewId="0"/>
  </sheetViews>
  <sheetFormatPr customHeight="1" defaultColWidth="14.43" defaultRowHeight="15.0"/>
  <cols>
    <col customWidth="1" min="1" max="1" width="60.71"/>
    <col customWidth="1" min="2" max="2" width="15.43"/>
    <col customWidth="1" min="3" max="3" width="30.0"/>
    <col customWidth="1" hidden="1" min="4" max="4" width="7.14"/>
    <col customWidth="1" hidden="1" min="5" max="5" width="9.43"/>
    <col customWidth="1" min="6" max="6" width="17.86"/>
    <col customWidth="1" hidden="1" min="7" max="7" width="9.86"/>
    <col customWidth="1" hidden="1" min="8" max="8" width="6.86"/>
    <col customWidth="1" min="9" max="9" width="25.57"/>
    <col customWidth="1" hidden="1" min="10" max="10" width="7.86"/>
    <col customWidth="1" hidden="1" min="11" max="11" width="11.14"/>
    <col customWidth="1" min="12" max="12" width="11.14"/>
    <col customWidth="1" min="13" max="13" width="15.29"/>
    <col customWidth="1" min="14" max="14" width="14.29"/>
    <col customWidth="1" min="15" max="26" width="11.57"/>
  </cols>
  <sheetData>
    <row r="1" ht="60.0" customHeight="1">
      <c r="A1" s="159" t="s">
        <v>261</v>
      </c>
      <c r="B1" s="160"/>
      <c r="C1" s="160"/>
      <c r="D1" s="160"/>
      <c r="E1" s="160"/>
      <c r="F1" s="160"/>
      <c r="G1" s="160"/>
      <c r="H1" s="160"/>
      <c r="I1" s="160"/>
      <c r="J1" s="160"/>
      <c r="K1" s="160"/>
      <c r="L1" s="160"/>
      <c r="M1" s="160"/>
      <c r="N1" s="161"/>
      <c r="O1" s="195"/>
      <c r="P1" s="195"/>
      <c r="Q1" s="195"/>
      <c r="R1" s="195"/>
      <c r="S1" s="195"/>
      <c r="T1" s="195"/>
      <c r="U1" s="195"/>
      <c r="V1" s="195"/>
      <c r="W1" s="195"/>
      <c r="X1" s="195"/>
      <c r="Y1" s="195"/>
      <c r="Z1" s="195"/>
    </row>
    <row r="2" ht="34.5" customHeight="1">
      <c r="A2" s="205" t="s">
        <v>262</v>
      </c>
      <c r="B2" s="70"/>
      <c r="C2" s="70"/>
      <c r="D2" s="70"/>
      <c r="E2" s="70"/>
      <c r="F2" s="70"/>
      <c r="G2" s="70"/>
      <c r="H2" s="70"/>
      <c r="I2" s="70"/>
      <c r="J2" s="70"/>
      <c r="K2" s="70"/>
      <c r="L2" s="70"/>
      <c r="M2" s="70"/>
      <c r="N2" s="71"/>
      <c r="O2" s="195"/>
      <c r="P2" s="195"/>
      <c r="Q2" s="195"/>
      <c r="R2" s="195"/>
      <c r="S2" s="195"/>
      <c r="T2" s="195"/>
      <c r="U2" s="195"/>
      <c r="V2" s="195"/>
      <c r="W2" s="195"/>
      <c r="X2" s="195"/>
      <c r="Y2" s="195"/>
      <c r="Z2" s="195"/>
    </row>
    <row r="3" ht="14.25" customHeight="1">
      <c r="A3" s="206" t="s">
        <v>232</v>
      </c>
      <c r="B3" s="207" t="s">
        <v>233</v>
      </c>
      <c r="C3" s="185" t="s">
        <v>234</v>
      </c>
      <c r="D3" s="185" t="s">
        <v>235</v>
      </c>
      <c r="E3" s="185" t="s">
        <v>236</v>
      </c>
      <c r="F3" s="185" t="s">
        <v>237</v>
      </c>
      <c r="G3" s="185" t="s">
        <v>235</v>
      </c>
      <c r="H3" s="185" t="s">
        <v>236</v>
      </c>
      <c r="I3" s="185" t="s">
        <v>238</v>
      </c>
      <c r="J3" s="185" t="s">
        <v>235</v>
      </c>
      <c r="K3" s="185" t="s">
        <v>236</v>
      </c>
      <c r="L3" s="185" t="s">
        <v>239</v>
      </c>
      <c r="M3" s="185" t="s">
        <v>240</v>
      </c>
      <c r="N3" s="187" t="s">
        <v>241</v>
      </c>
      <c r="O3" s="195"/>
      <c r="P3" s="195"/>
      <c r="Q3" s="195"/>
      <c r="R3" s="195"/>
      <c r="S3" s="195"/>
      <c r="T3" s="195"/>
      <c r="U3" s="195"/>
      <c r="V3" s="195"/>
      <c r="W3" s="195"/>
      <c r="X3" s="195"/>
      <c r="Y3" s="195"/>
      <c r="Z3" s="195"/>
    </row>
    <row r="4" ht="14.25" customHeight="1">
      <c r="A4" s="208" t="s">
        <v>211</v>
      </c>
      <c r="B4" s="160"/>
      <c r="C4" s="160"/>
      <c r="D4" s="160"/>
      <c r="E4" s="160"/>
      <c r="F4" s="160"/>
      <c r="G4" s="160"/>
      <c r="H4" s="160"/>
      <c r="I4" s="160"/>
      <c r="J4" s="160"/>
      <c r="K4" s="160"/>
      <c r="L4" s="160"/>
      <c r="M4" s="160"/>
      <c r="N4" s="209"/>
      <c r="O4" s="195"/>
      <c r="P4" s="195"/>
      <c r="Q4" s="195"/>
      <c r="R4" s="195"/>
      <c r="S4" s="195"/>
      <c r="T4" s="195"/>
      <c r="U4" s="195"/>
      <c r="V4" s="195"/>
      <c r="W4" s="195"/>
      <c r="X4" s="195"/>
      <c r="Y4" s="195"/>
      <c r="Z4" s="195"/>
    </row>
    <row r="5" ht="14.25" customHeight="1">
      <c r="A5" s="177" t="str">
        <f>IF('2. List of IROs'!C46="", "", '2. List of IROs'!C46)</f>
        <v>Impact G1-1</v>
      </c>
      <c r="B5" s="210" t="s">
        <v>247</v>
      </c>
      <c r="C5" s="210" t="s">
        <v>246</v>
      </c>
      <c r="D5" s="171">
        <f>IFERROR(VLOOKUP(C5,'Assignment Table'!$A$1:$B$6,2,FALSE),"")</f>
        <v>2</v>
      </c>
      <c r="E5" s="171">
        <f t="shared" ref="E5:E7" si="1">IF(OR(D5="", L5=""), "", D5*L5)</f>
        <v>1</v>
      </c>
      <c r="F5" s="210" t="s">
        <v>243</v>
      </c>
      <c r="G5" s="171">
        <f>IFERROR(VLOOKUP(F5,'Assignment Table'!$A$1:$K$6,2,FALSE),"")</f>
        <v>1</v>
      </c>
      <c r="H5" s="171">
        <f t="shared" ref="H5:H7" si="2">IF(OR(G5="", L5=""), "", G5*L5)</f>
        <v>0.5</v>
      </c>
      <c r="I5" s="210" t="s">
        <v>243</v>
      </c>
      <c r="J5" s="171">
        <f>IFERROR(VLOOKUP(I5,'Assignment Table'!$A$1:$K$6,2,FALSE),"")</f>
        <v>1</v>
      </c>
      <c r="K5" s="171">
        <f t="shared" ref="K5:K7" si="3">IF(OR(J5="", L5=""), "", J5*L5)</f>
        <v>0.5</v>
      </c>
      <c r="L5" s="210">
        <v>0.5</v>
      </c>
      <c r="M5" s="172">
        <f t="shared" ref="M5:M7" si="4">IF(OR(D5="", G5="", J5="", L5=""), "", IF(D5*G5*J5*L5=0, D5*G5*L5, D5*G5*J5*L5))</f>
        <v>1</v>
      </c>
      <c r="N5" s="173" t="str">
        <f t="shared" ref="N5:N7" si="5">IF(OR(M5=""), "", IF(M5&gt;=1.5, "yes", "no"))</f>
        <v>no</v>
      </c>
      <c r="O5" s="195"/>
      <c r="P5" s="195"/>
      <c r="Q5" s="195"/>
      <c r="R5" s="195"/>
      <c r="S5" s="195"/>
      <c r="T5" s="195"/>
      <c r="U5" s="195"/>
      <c r="V5" s="195"/>
      <c r="W5" s="195"/>
      <c r="X5" s="195"/>
      <c r="Y5" s="195"/>
      <c r="Z5" s="195"/>
    </row>
    <row r="6" ht="14.25" customHeight="1">
      <c r="A6" s="177" t="str">
        <f>IF('2. List of IROs'!C47="", "", '2. List of IROs'!C47)</f>
        <v>Impact G1-2</v>
      </c>
      <c r="B6" s="171"/>
      <c r="C6" s="171"/>
      <c r="D6" s="171" t="str">
        <f>IFERROR(VLOOKUP(C6,'Assignment Table'!$A$1:$B$6,2,FALSE),"")</f>
        <v/>
      </c>
      <c r="E6" s="171" t="str">
        <f t="shared" si="1"/>
        <v/>
      </c>
      <c r="F6" s="171"/>
      <c r="G6" s="171" t="str">
        <f>IFERROR(VLOOKUP(F6,'Assignment Table'!$A$1:$K$6,2,FALSE),"")</f>
        <v/>
      </c>
      <c r="H6" s="171" t="str">
        <f t="shared" si="2"/>
        <v/>
      </c>
      <c r="I6" s="171"/>
      <c r="J6" s="171" t="str">
        <f>IFERROR(VLOOKUP(I6,'Assignment Table'!$A$1:$K$6,2,FALSE),"")</f>
        <v/>
      </c>
      <c r="K6" s="171" t="str">
        <f t="shared" si="3"/>
        <v/>
      </c>
      <c r="L6" s="171"/>
      <c r="M6" s="172" t="str">
        <f t="shared" si="4"/>
        <v/>
      </c>
      <c r="N6" s="173" t="str">
        <f t="shared" si="5"/>
        <v/>
      </c>
      <c r="O6" s="195"/>
      <c r="P6" s="195"/>
      <c r="Q6" s="195"/>
      <c r="R6" s="195"/>
      <c r="S6" s="195"/>
      <c r="T6" s="195"/>
      <c r="U6" s="195"/>
      <c r="V6" s="195"/>
      <c r="W6" s="195"/>
      <c r="X6" s="195"/>
      <c r="Y6" s="195"/>
      <c r="Z6" s="195"/>
    </row>
    <row r="7" ht="14.25" customHeight="1">
      <c r="A7" s="178" t="str">
        <f>IF('2. List of IROs'!C48="", "", '2. List of IROs'!C48)</f>
        <v>Impact G1-3</v>
      </c>
      <c r="B7" s="179"/>
      <c r="C7" s="179"/>
      <c r="D7" s="179" t="str">
        <f>IFERROR(VLOOKUP(C7,'Assignment Table'!$A$1:$B$6,2,FALSE),"")</f>
        <v/>
      </c>
      <c r="E7" s="179" t="str">
        <f t="shared" si="1"/>
        <v/>
      </c>
      <c r="F7" s="179"/>
      <c r="G7" s="179" t="str">
        <f>IFERROR(VLOOKUP(F7,'Assignment Table'!$A$1:$K$6,2,FALSE),"")</f>
        <v/>
      </c>
      <c r="H7" s="179" t="str">
        <f t="shared" si="2"/>
        <v/>
      </c>
      <c r="I7" s="179"/>
      <c r="J7" s="179" t="str">
        <f>IFERROR(VLOOKUP(I7,'Assignment Table'!$A$1:$K$6,2,FALSE),"")</f>
        <v/>
      </c>
      <c r="K7" s="179" t="str">
        <f t="shared" si="3"/>
        <v/>
      </c>
      <c r="L7" s="179"/>
      <c r="M7" s="180" t="str">
        <f t="shared" si="4"/>
        <v/>
      </c>
      <c r="N7" s="181" t="str">
        <f t="shared" si="5"/>
        <v/>
      </c>
      <c r="O7" s="195"/>
      <c r="P7" s="195"/>
      <c r="Q7" s="195"/>
      <c r="R7" s="195"/>
      <c r="S7" s="195"/>
      <c r="T7" s="195"/>
      <c r="U7" s="195"/>
      <c r="V7" s="195"/>
      <c r="W7" s="195"/>
      <c r="X7" s="195"/>
      <c r="Y7" s="195"/>
      <c r="Z7" s="195"/>
    </row>
    <row r="8" ht="14.25"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row>
    <row r="9" ht="14.25"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row>
    <row r="10" ht="14.25" customHeight="1">
      <c r="A10" s="211" t="s">
        <v>249</v>
      </c>
      <c r="B10" s="212"/>
      <c r="C10" s="212" t="s">
        <v>250</v>
      </c>
      <c r="D10" s="212" t="s">
        <v>235</v>
      </c>
      <c r="E10" s="212"/>
      <c r="F10" s="212" t="s">
        <v>251</v>
      </c>
      <c r="G10" s="212" t="s">
        <v>235</v>
      </c>
      <c r="H10" s="212"/>
      <c r="I10" s="212"/>
      <c r="J10" s="212"/>
      <c r="K10" s="212"/>
      <c r="L10" s="213"/>
      <c r="M10" s="212" t="s">
        <v>252</v>
      </c>
      <c r="N10" s="214" t="s">
        <v>241</v>
      </c>
      <c r="O10" s="195"/>
      <c r="P10" s="195"/>
      <c r="Q10" s="195"/>
      <c r="R10" s="195"/>
      <c r="S10" s="195"/>
      <c r="T10" s="195"/>
      <c r="U10" s="195"/>
      <c r="V10" s="195"/>
      <c r="W10" s="195"/>
      <c r="X10" s="195"/>
      <c r="Y10" s="195"/>
      <c r="Z10" s="195"/>
    </row>
    <row r="11" ht="14.25" customHeight="1">
      <c r="A11" s="215" t="s">
        <v>211</v>
      </c>
      <c r="B11" s="216"/>
      <c r="C11" s="216"/>
      <c r="D11" s="216"/>
      <c r="E11" s="216"/>
      <c r="F11" s="216"/>
      <c r="G11" s="216"/>
      <c r="H11" s="216"/>
      <c r="I11" s="216"/>
      <c r="J11" s="216"/>
      <c r="K11" s="216"/>
      <c r="L11" s="216"/>
      <c r="M11" s="216"/>
      <c r="N11" s="217"/>
      <c r="O11" s="195"/>
      <c r="P11" s="195"/>
      <c r="Q11" s="195"/>
      <c r="R11" s="195"/>
      <c r="S11" s="195"/>
      <c r="T11" s="195"/>
      <c r="U11" s="195"/>
      <c r="V11" s="195"/>
      <c r="W11" s="195"/>
      <c r="X11" s="195"/>
      <c r="Y11" s="195"/>
      <c r="Z11" s="195"/>
    </row>
    <row r="12" ht="14.25" customHeight="1">
      <c r="A12" s="177" t="str">
        <f>IF('2. List of IROs'!D46="","",'2. List of IROs'!D46)</f>
        <v>Risk G1-1</v>
      </c>
      <c r="B12" s="192"/>
      <c r="C12" s="171"/>
      <c r="D12" s="171" t="str">
        <f>IFERROR(VLOOKUP(C12,'Assignment Table'!$A$15:$B$23,2,FALSE),"")</f>
        <v/>
      </c>
      <c r="E12" s="171"/>
      <c r="F12" s="171"/>
      <c r="G12" s="193" t="str">
        <f>IFERROR(VLOOKUP(F12,'Assignment Table'!$A$27:$B$35,2,FALSE),"")</f>
        <v/>
      </c>
      <c r="H12" s="192"/>
      <c r="I12" s="192"/>
      <c r="J12" s="194">
        <f t="shared" ref="J12:J13" si="6">IFERROR(D12*F12,"")</f>
        <v>0</v>
      </c>
      <c r="K12" s="192"/>
      <c r="L12" s="192"/>
      <c r="M12" s="171" t="str">
        <f t="shared" ref="M12:M17" si="7">IF(OR(D12="", G12=""), "", D12*G12)</f>
        <v/>
      </c>
      <c r="N12" s="173" t="str">
        <f t="shared" ref="N12:N17" si="8">IF(OR(D12="", G12=""), "", IF(D12*G12 &gt;=20, "yes", IF(D12*G12 &lt;20, "no", "")))</f>
        <v/>
      </c>
      <c r="O12" s="195"/>
      <c r="P12" s="195"/>
      <c r="Q12" s="195"/>
      <c r="R12" s="195"/>
      <c r="S12" s="195"/>
      <c r="T12" s="195"/>
      <c r="U12" s="195"/>
      <c r="V12" s="195"/>
      <c r="W12" s="195"/>
      <c r="X12" s="195"/>
      <c r="Y12" s="195"/>
      <c r="Z12" s="195"/>
    </row>
    <row r="13" ht="14.25" customHeight="1">
      <c r="A13" s="177" t="str">
        <f>IF('2. List of IROs'!D47="","",'2. List of IROs'!D47)</f>
        <v>Risk G1-2</v>
      </c>
      <c r="B13" s="192"/>
      <c r="C13" s="171"/>
      <c r="D13" s="171" t="str">
        <f>IFERROR(VLOOKUP(C13,'Assignment Table'!$A$15:$B$23,2,FALSE),"")</f>
        <v/>
      </c>
      <c r="E13" s="171"/>
      <c r="F13" s="171"/>
      <c r="G13" s="193" t="str">
        <f>IFERROR(VLOOKUP(F13,'Assignment Table'!$A$27:$B$35,2,FALSE),"")</f>
        <v/>
      </c>
      <c r="H13" s="192"/>
      <c r="I13" s="192"/>
      <c r="J13" s="194">
        <f t="shared" si="6"/>
        <v>0</v>
      </c>
      <c r="K13" s="192"/>
      <c r="L13" s="192"/>
      <c r="M13" s="171" t="str">
        <f t="shared" si="7"/>
        <v/>
      </c>
      <c r="N13" s="173" t="str">
        <f t="shared" si="8"/>
        <v/>
      </c>
      <c r="O13" s="195"/>
      <c r="P13" s="195"/>
      <c r="Q13" s="195"/>
      <c r="R13" s="195"/>
      <c r="S13" s="195"/>
      <c r="T13" s="195"/>
      <c r="U13" s="195"/>
      <c r="V13" s="195"/>
      <c r="W13" s="195"/>
      <c r="X13" s="195"/>
      <c r="Y13" s="195"/>
      <c r="Z13" s="195"/>
    </row>
    <row r="14" ht="14.25" customHeight="1">
      <c r="A14" s="177" t="str">
        <f>IF('2. List of IROs'!D48="","",'2. List of IROs'!D48)</f>
        <v>Risk G1-3</v>
      </c>
      <c r="B14" s="192"/>
      <c r="C14" s="195"/>
      <c r="D14" s="171" t="str">
        <f>IFERROR(VLOOKUP(C14,'Assignment Table'!$A$15:$B$23,2,FALSE),"")</f>
        <v/>
      </c>
      <c r="E14" s="171"/>
      <c r="F14" s="171"/>
      <c r="G14" s="193" t="str">
        <f>IFERROR(VLOOKUP(F14,'Assignment Table'!$A$27:$B$35,2,FALSE),"")</f>
        <v/>
      </c>
      <c r="H14" s="192"/>
      <c r="I14" s="192"/>
      <c r="J14" s="194"/>
      <c r="K14" s="192"/>
      <c r="L14" s="192"/>
      <c r="M14" s="171" t="str">
        <f t="shared" si="7"/>
        <v/>
      </c>
      <c r="N14" s="173" t="str">
        <f t="shared" si="8"/>
        <v/>
      </c>
      <c r="O14" s="195"/>
      <c r="P14" s="195"/>
      <c r="Q14" s="195"/>
      <c r="R14" s="195"/>
      <c r="S14" s="195"/>
      <c r="T14" s="195"/>
      <c r="U14" s="195"/>
      <c r="V14" s="195"/>
      <c r="W14" s="195"/>
      <c r="X14" s="195"/>
      <c r="Y14" s="195"/>
      <c r="Z14" s="195"/>
    </row>
    <row r="15" ht="14.25" customHeight="1">
      <c r="A15" s="177" t="str">
        <f>IF('2. List of IROs'!E46="","",'2. List of IROs'!E46)</f>
        <v>Opportunity G1-1</v>
      </c>
      <c r="B15" s="192"/>
      <c r="C15" s="171"/>
      <c r="D15" s="171" t="str">
        <f>IFERROR(VLOOKUP(C15,'Assignment Table'!$A$15:$B$23,2,FALSE),"")</f>
        <v/>
      </c>
      <c r="E15" s="171"/>
      <c r="F15" s="171"/>
      <c r="G15" s="193" t="str">
        <f>IFERROR(VLOOKUP(F15,'Assignment Table'!$A$27:$B$35,2,FALSE),"")</f>
        <v/>
      </c>
      <c r="H15" s="192"/>
      <c r="I15" s="192"/>
      <c r="J15" s="194">
        <f t="shared" ref="J15:J16" si="9">IFERROR(D15*F15,"")</f>
        <v>0</v>
      </c>
      <c r="K15" s="192"/>
      <c r="L15" s="192"/>
      <c r="M15" s="171" t="str">
        <f t="shared" si="7"/>
        <v/>
      </c>
      <c r="N15" s="173" t="str">
        <f t="shared" si="8"/>
        <v/>
      </c>
      <c r="O15" s="195"/>
      <c r="P15" s="195"/>
      <c r="Q15" s="195"/>
      <c r="R15" s="195"/>
      <c r="S15" s="195"/>
      <c r="T15" s="195"/>
      <c r="U15" s="195"/>
      <c r="V15" s="195"/>
      <c r="W15" s="195"/>
      <c r="X15" s="195"/>
      <c r="Y15" s="195"/>
      <c r="Z15" s="195"/>
    </row>
    <row r="16" ht="14.25" customHeight="1">
      <c r="A16" s="218" t="str">
        <f>IF('2. List of IROs'!E47="","",'2. List of IROs'!E47)</f>
        <v>Opportunity G1-2</v>
      </c>
      <c r="B16" s="219"/>
      <c r="C16" s="220"/>
      <c r="D16" s="220" t="str">
        <f>IFERROR(VLOOKUP(C16,'Assignment Table'!$A$15:$B$23,2,FALSE),"")</f>
        <v/>
      </c>
      <c r="E16" s="220"/>
      <c r="F16" s="220"/>
      <c r="G16" s="221" t="str">
        <f>IFERROR(VLOOKUP(F16,'Assignment Table'!$A$27:$B$35,2,FALSE),"")</f>
        <v/>
      </c>
      <c r="H16" s="219"/>
      <c r="I16" s="219"/>
      <c r="J16" s="222">
        <f t="shared" si="9"/>
        <v>0</v>
      </c>
      <c r="K16" s="219"/>
      <c r="L16" s="219"/>
      <c r="M16" s="220" t="str">
        <f t="shared" si="7"/>
        <v/>
      </c>
      <c r="N16" s="173" t="str">
        <f t="shared" si="8"/>
        <v/>
      </c>
      <c r="O16" s="195"/>
      <c r="P16" s="195"/>
      <c r="Q16" s="195"/>
      <c r="R16" s="195"/>
      <c r="S16" s="195"/>
      <c r="T16" s="195"/>
      <c r="U16" s="195"/>
      <c r="V16" s="195"/>
      <c r="W16" s="195"/>
      <c r="X16" s="195"/>
      <c r="Y16" s="195"/>
      <c r="Z16" s="195"/>
    </row>
    <row r="17" ht="14.25" customHeight="1">
      <c r="A17" s="178" t="str">
        <f>IF('2. List of IROs'!E48="","",'2. List of IROs'!E48)</f>
        <v>Opportunity G1-3 </v>
      </c>
      <c r="B17" s="223"/>
      <c r="C17" s="179"/>
      <c r="D17" s="179" t="str">
        <f>IFERROR(VLOOKUP(C17,'Assignment Table'!$A$15:$B$23,2,FALSE),"")</f>
        <v/>
      </c>
      <c r="E17" s="179"/>
      <c r="F17" s="179"/>
      <c r="G17" s="224" t="str">
        <f>IFERROR(VLOOKUP(F17,'Assignment Table'!$A$27:$B$35,2,FALSE),"")</f>
        <v/>
      </c>
      <c r="H17" s="223"/>
      <c r="I17" s="223"/>
      <c r="J17" s="225"/>
      <c r="K17" s="223"/>
      <c r="L17" s="223"/>
      <c r="M17" s="179" t="str">
        <f t="shared" si="7"/>
        <v/>
      </c>
      <c r="N17" s="181" t="str">
        <f t="shared" si="8"/>
        <v/>
      </c>
      <c r="O17" s="195"/>
      <c r="P17" s="195"/>
      <c r="Q17" s="195"/>
      <c r="R17" s="195"/>
      <c r="S17" s="195"/>
      <c r="T17" s="195"/>
      <c r="U17" s="195"/>
      <c r="V17" s="195"/>
      <c r="W17" s="195"/>
      <c r="X17" s="195"/>
      <c r="Y17" s="195"/>
      <c r="Z17" s="195"/>
    </row>
    <row r="18" ht="14.25" customHeight="1">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ht="14.25" customHeight="1">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ht="14.2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ht="14.25" customHeight="1">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ht="14.25" customHeight="1">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ht="14.25" customHeight="1">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ht="14.25" customHeight="1">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row>
    <row r="25" ht="14.25" customHeight="1">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ht="14.25" customHeight="1">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row>
    <row r="27" ht="14.25" customHeight="1">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row>
    <row r="28" ht="14.25" customHeight="1">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row>
    <row r="29" ht="14.25" customHeight="1">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row>
    <row r="30" ht="14.25" customHeight="1">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ht="14.25" customHeight="1">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row>
    <row r="32" ht="14.2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ht="14.25"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ht="14.25" customHeight="1">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row>
    <row r="35" ht="14.25" customHeight="1">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row>
    <row r="36" ht="14.25" customHeight="1">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row>
    <row r="37" ht="14.25" customHeight="1">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row>
    <row r="38" ht="14.25" customHeight="1">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ht="14.25" customHeight="1">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row>
    <row r="40" ht="14.25" customHeight="1">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row>
    <row r="41" ht="14.25" customHeight="1">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row>
    <row r="42" ht="14.25" customHeight="1">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row>
    <row r="43" ht="14.2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row>
    <row r="44" ht="14.25" customHeight="1">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row>
    <row r="45" ht="14.25" customHeight="1">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row>
    <row r="46" ht="14.25" customHeight="1">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row>
    <row r="47" ht="14.25" customHeight="1">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row>
    <row r="48" ht="14.25"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row>
    <row r="49" ht="14.25" customHeight="1">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row>
    <row r="50" ht="14.25" customHeight="1">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row>
    <row r="51" ht="14.25" customHeight="1">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row>
    <row r="52" ht="14.25" customHeight="1">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row>
    <row r="53" ht="14.25" customHeight="1">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row>
    <row r="54" ht="14.25" customHeight="1">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row>
    <row r="55" ht="14.25" customHeight="1">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row>
    <row r="56" ht="14.25" customHeight="1">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row>
    <row r="57" ht="14.25" customHeight="1">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ht="14.25" customHeight="1">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59" ht="14.25" customHeight="1">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ht="14.2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row>
    <row r="61" ht="14.25" customHeight="1">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row>
    <row r="62" ht="14.25" customHeight="1">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row>
    <row r="63" ht="14.25" customHeight="1">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row>
    <row r="64" ht="14.25" customHeight="1">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row>
    <row r="65" ht="14.25" customHeight="1">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row>
    <row r="66" ht="14.25" customHeight="1">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row>
    <row r="67" ht="14.25" customHeight="1">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row>
    <row r="68" ht="14.25" customHeight="1">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ht="14.25" customHeight="1">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0" ht="14.2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row>
    <row r="71" ht="14.2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row>
    <row r="72" ht="14.25" customHeight="1">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row>
    <row r="73" ht="14.25" customHeight="1">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row>
    <row r="74" ht="14.2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row>
    <row r="75" ht="14.25" customHeigh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row>
    <row r="76" ht="14.25" customHeight="1">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row>
    <row r="77" ht="14.25" customHeight="1">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row>
    <row r="78" ht="14.25" customHeight="1">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row>
    <row r="79" ht="14.25" customHeight="1">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row>
    <row r="80" ht="14.25" customHeight="1">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row>
    <row r="81" ht="14.25" customHeight="1">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row>
    <row r="82" ht="14.25" customHeight="1">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row>
    <row r="83" ht="14.25"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row>
    <row r="84" ht="14.25" customHeight="1">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row>
    <row r="85" ht="14.25" customHeight="1">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row>
    <row r="86" ht="14.25" customHeight="1">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row>
    <row r="87" ht="14.2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row>
    <row r="88" ht="14.25" customHeight="1">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row>
    <row r="89" ht="14.25" customHeight="1">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row>
    <row r="90" ht="14.25" customHeight="1">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row>
    <row r="91" ht="14.25" customHeight="1">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row>
    <row r="92" ht="14.25" customHeight="1">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row>
    <row r="93" ht="14.25" customHeight="1">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row>
    <row r="94" ht="14.25" customHeight="1">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row>
    <row r="95" ht="14.25" customHeight="1">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row>
    <row r="96" ht="14.25" customHeight="1">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row>
    <row r="97" ht="14.25" customHeight="1">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row>
    <row r="98" ht="14.25" customHeight="1">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row>
    <row r="99" ht="14.25" customHeight="1">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row>
    <row r="100" ht="14.25" customHeight="1">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row>
    <row r="101" ht="14.25" customHeight="1">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row>
    <row r="102" ht="14.25" customHeight="1">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ht="14.25" customHeight="1">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ht="14.25" customHeight="1">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ht="14.25" customHeight="1">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row>
    <row r="106" ht="14.25" customHeight="1">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row>
    <row r="107" ht="14.25" customHeight="1">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row>
    <row r="108" ht="14.25" customHeight="1">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row>
    <row r="109" ht="14.25" customHeight="1">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row>
    <row r="110" ht="14.25" customHeight="1">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row>
    <row r="111" ht="14.25" customHeight="1">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row>
    <row r="112" ht="14.25" customHeight="1">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row>
    <row r="113" ht="14.25" customHeight="1">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row>
    <row r="114" ht="14.25" customHeight="1">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row>
    <row r="115" ht="14.25" customHeight="1">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row>
    <row r="116" ht="14.25" customHeight="1">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row>
    <row r="117" ht="14.25" customHeight="1">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row>
    <row r="118" ht="14.25" customHeight="1">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row>
    <row r="119" ht="14.25" customHeight="1">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ht="14.25" customHeight="1">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ht="14.25" customHeight="1">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ht="14.25" customHeight="1">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ht="14.25" customHeight="1">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ht="14.25" customHeight="1">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ht="14.25" customHeight="1">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ht="14.25" customHeight="1">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ht="14.25" customHeight="1">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ht="14.25" customHeight="1">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ht="14.25" customHeight="1">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ht="14.25" customHeight="1">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ht="14.25" customHeight="1">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ht="14.25" customHeight="1">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ht="14.25" customHeight="1">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ht="14.25" customHeight="1">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ht="14.25" customHeight="1">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ht="14.25" customHeight="1">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ht="14.25" customHeight="1">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ht="14.25" customHeight="1">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ht="14.25" customHeight="1">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ht="14.25" customHeight="1">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ht="14.25" customHeight="1">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ht="14.25" customHeight="1">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ht="14.25" customHeight="1">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ht="14.25" customHeight="1">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ht="14.25" customHeight="1">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ht="14.25" customHeight="1">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ht="14.25" customHeight="1">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ht="14.25" customHeight="1">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ht="14.25" customHeight="1">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ht="14.25" customHeight="1">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ht="14.25" customHeight="1">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ht="14.25" customHeight="1">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ht="14.25" customHeight="1">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ht="14.25" customHeight="1">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ht="14.25" customHeight="1">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ht="14.25" customHeight="1">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ht="14.25" customHeight="1">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ht="14.25" customHeight="1">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ht="14.25" customHeight="1">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ht="14.25" customHeight="1">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ht="14.25" customHeight="1">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ht="14.25" customHeight="1">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ht="14.25" customHeight="1">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ht="14.25" customHeight="1">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ht="14.25" customHeight="1">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ht="14.25" customHeight="1">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ht="14.25" customHeight="1">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ht="14.25" customHeight="1">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ht="14.25" customHeight="1">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ht="14.25" customHeight="1">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ht="14.25" customHeight="1">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ht="14.25" customHeight="1">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ht="14.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ht="14.25" customHeight="1">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ht="14.25" customHeight="1">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ht="14.25" customHeight="1">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ht="14.25" customHeight="1">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ht="14.25" customHeight="1">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ht="14.25" customHeight="1">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ht="14.25" customHeight="1">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ht="14.25" customHeight="1">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ht="14.25" customHeight="1">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ht="14.25" customHeight="1">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ht="14.25" customHeight="1">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ht="14.25" customHeight="1">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ht="14.25" customHeight="1">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ht="14.25" customHeight="1">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ht="14.25" customHeight="1">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ht="14.25" customHeight="1">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ht="14.25" customHeight="1">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ht="14.25" customHeight="1">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ht="14.25" customHeight="1">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ht="14.25" customHeight="1">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ht="14.25" customHeight="1">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ht="14.25" customHeight="1">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ht="14.25" customHeight="1">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ht="14.25" customHeight="1">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ht="14.25" customHeight="1">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ht="14.25" customHeight="1">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ht="14.25" customHeight="1">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ht="14.25" customHeight="1">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ht="14.25" customHeight="1">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ht="14.25" customHeight="1">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ht="14.25" customHeight="1">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ht="14.25" customHeight="1">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ht="14.25" customHeight="1">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ht="14.25" customHeight="1">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ht="14.25" customHeight="1">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ht="14.25" customHeight="1">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ht="14.25" customHeight="1">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ht="14.25" customHeight="1">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ht="14.25" customHeight="1">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ht="14.25" customHeight="1">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ht="14.25" customHeight="1">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ht="14.25" customHeight="1">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ht="14.25" customHeight="1">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ht="14.25" customHeight="1">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ht="14.25" customHeight="1">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ht="14.25" customHeight="1">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ht="14.25" customHeight="1">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ht="14.25" customHeight="1">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ht="14.25" customHeight="1">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ht="14.25" customHeight="1">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ht="14.25" customHeight="1">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ht="14.25" customHeight="1">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ht="14.25" customHeight="1">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ht="14.25" customHeight="1">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ht="14.25" customHeight="1">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ht="14.25" customHeight="1">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ht="14.25" customHeight="1">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ht="14.25" customHeight="1">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ht="14.25" customHeight="1">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ht="14.25" customHeight="1">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ht="14.25" customHeight="1">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ht="14.25" customHeight="1">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ht="14.25" customHeight="1">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ht="14.25" customHeight="1">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ht="14.25" customHeight="1">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ht="14.25" customHeight="1">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ht="14.25" customHeight="1">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ht="14.25" customHeight="1">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ht="14.25" customHeight="1">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ht="14.25" customHeight="1">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ht="14.25" customHeight="1">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ht="14.25" customHeight="1">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ht="14.25" customHeight="1">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ht="14.25" customHeight="1">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ht="14.25" customHeight="1">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ht="14.25" customHeight="1">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ht="14.25" customHeight="1">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ht="14.25" customHeight="1">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ht="14.25" customHeight="1">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ht="14.25" customHeight="1">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ht="14.25" customHeight="1">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ht="14.25" customHeight="1">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ht="14.25" customHeight="1">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ht="14.25" customHeight="1">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ht="14.25" customHeight="1">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ht="14.25" customHeight="1">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ht="14.25" customHeight="1">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ht="14.25" customHeight="1">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ht="14.25" customHeight="1">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ht="14.25" customHeight="1">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ht="14.25" customHeight="1">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ht="14.25" customHeight="1">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ht="14.25" customHeight="1">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ht="14.25" customHeight="1">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ht="14.25" customHeight="1">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ht="14.25" customHeight="1">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ht="14.25" customHeight="1">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ht="14.25" customHeight="1">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ht="14.25" customHeight="1">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ht="14.25" customHeight="1">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ht="14.25" customHeight="1">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ht="14.25" customHeight="1">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ht="14.25" customHeight="1">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ht="14.25" customHeight="1">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ht="14.25" customHeight="1">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ht="14.25" customHeight="1">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ht="14.25" customHeight="1">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ht="14.25" customHeight="1">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ht="14.25" customHeight="1">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ht="14.25" customHeight="1">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ht="14.25" customHeight="1">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ht="14.25" customHeight="1">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ht="14.25" customHeight="1">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ht="14.25" customHeight="1">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ht="14.25" customHeight="1">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ht="14.25" customHeight="1">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ht="14.25" customHeight="1">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ht="14.25" customHeight="1">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ht="14.25" customHeight="1">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ht="14.25" customHeight="1">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ht="14.25" customHeight="1">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ht="14.25" customHeight="1">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ht="14.25" customHeight="1">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ht="14.25" customHeight="1">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ht="14.25" customHeight="1">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ht="14.25" customHeight="1">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ht="14.25" customHeight="1">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ht="14.25" customHeight="1">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ht="14.25" customHeight="1">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ht="14.25" customHeight="1">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ht="14.25" customHeight="1">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ht="14.25" customHeight="1">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ht="14.25" customHeight="1">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ht="14.25" customHeight="1">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row>
    <row r="308" ht="14.25" customHeight="1">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row>
    <row r="309" ht="14.25" customHeight="1">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row>
    <row r="310" ht="14.25" customHeight="1">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row>
    <row r="311" ht="14.25" customHeight="1">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row>
    <row r="312" ht="14.25" customHeight="1">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row>
    <row r="313" ht="14.25" customHeight="1">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row>
    <row r="314" ht="14.25" customHeight="1">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row>
    <row r="315" ht="14.25" customHeight="1">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row>
    <row r="316" ht="14.25" customHeight="1">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row>
    <row r="317" ht="14.25" customHeight="1">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row>
    <row r="318" ht="14.25" customHeight="1">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row>
    <row r="319" ht="14.25" customHeight="1">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row>
    <row r="320" ht="14.25" customHeight="1">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row>
    <row r="321" ht="14.25" customHeight="1">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row>
    <row r="322" ht="14.25" customHeight="1">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row>
    <row r="323" ht="14.25" customHeight="1">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row>
    <row r="324" ht="14.25" customHeight="1">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row>
    <row r="325" ht="14.25" customHeight="1">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row>
    <row r="326" ht="14.25" customHeight="1">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row>
    <row r="327" ht="14.25" customHeight="1">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row>
    <row r="328" ht="14.25" customHeight="1">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row>
    <row r="329" ht="14.25" customHeight="1">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row>
    <row r="330" ht="14.25" customHeight="1">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row>
    <row r="331" ht="14.25" customHeight="1">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row>
    <row r="332" ht="14.25" customHeight="1">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row>
    <row r="333" ht="14.25" customHeight="1">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row>
    <row r="334" ht="14.25" customHeight="1">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row>
    <row r="335" ht="14.25" customHeight="1">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row>
    <row r="336" ht="14.25" customHeight="1">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row>
    <row r="337" ht="14.25" customHeight="1">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row>
    <row r="338" ht="14.25" customHeight="1">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row>
    <row r="339" ht="14.25" customHeight="1">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row>
    <row r="340" ht="14.25" customHeight="1">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row>
    <row r="341" ht="14.25" customHeight="1">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row>
    <row r="342" ht="14.25" customHeight="1">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row>
    <row r="343" ht="14.25" customHeight="1">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row>
    <row r="344" ht="14.25" customHeight="1">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row>
    <row r="345" ht="14.25" customHeight="1">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row>
    <row r="346" ht="14.25" customHeight="1">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row>
    <row r="347" ht="14.25" customHeight="1">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row>
    <row r="348" ht="14.25" customHeight="1">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row>
    <row r="349" ht="14.25" customHeight="1">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row>
    <row r="350" ht="14.25" customHeight="1">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row>
    <row r="351" ht="14.25" customHeight="1">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row>
    <row r="352" ht="14.25" customHeight="1">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row>
    <row r="353" ht="14.25" customHeight="1">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row>
    <row r="354" ht="14.25" customHeight="1">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row>
    <row r="355" ht="14.25" customHeight="1">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row>
    <row r="356" ht="14.25" customHeight="1">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row>
    <row r="357" ht="14.25" customHeight="1">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row>
    <row r="358" ht="14.25" customHeight="1">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row>
    <row r="359" ht="14.25" customHeight="1">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row>
    <row r="360" ht="14.25" customHeight="1">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row>
    <row r="361" ht="14.25" customHeight="1">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row>
    <row r="362" ht="14.25" customHeight="1">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row>
    <row r="363" ht="14.25" customHeight="1">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row>
    <row r="364" ht="14.25" customHeight="1">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row>
    <row r="365" ht="14.25" customHeight="1">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row>
    <row r="366" ht="14.25" customHeight="1">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row>
    <row r="367" ht="14.25" customHeight="1">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row>
    <row r="368" ht="14.25" customHeight="1">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row>
    <row r="369" ht="14.25" customHeight="1">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row>
    <row r="370" ht="14.25" customHeight="1">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row>
    <row r="371" ht="14.25" customHeight="1">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row>
    <row r="372" ht="14.25" customHeight="1">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row>
    <row r="373" ht="14.25" customHeight="1">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row>
    <row r="374" ht="14.25" customHeight="1">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row>
    <row r="375" ht="14.25" customHeight="1">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row>
    <row r="376" ht="14.25" customHeight="1">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row>
    <row r="377" ht="14.25" customHeight="1">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row>
    <row r="378" ht="14.25" customHeight="1">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row>
    <row r="379" ht="14.25" customHeight="1">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row>
    <row r="380" ht="14.25" customHeight="1">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row>
    <row r="381" ht="14.25" customHeight="1">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row>
    <row r="382" ht="14.25" customHeight="1">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row>
    <row r="383" ht="14.25" customHeight="1">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row>
    <row r="384" ht="14.25" customHeight="1">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row>
    <row r="385" ht="14.25" customHeight="1">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row>
    <row r="386" ht="14.25" customHeight="1">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row>
    <row r="387" ht="14.25" customHeight="1">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row>
    <row r="388" ht="14.25" customHeight="1">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row>
    <row r="389" ht="14.25" customHeight="1">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row>
    <row r="390" ht="14.25" customHeight="1">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row>
    <row r="391" ht="14.25" customHeight="1">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row>
    <row r="392" ht="14.25" customHeight="1">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row>
    <row r="393" ht="14.25" customHeight="1">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row>
    <row r="394" ht="14.25" customHeight="1">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row>
    <row r="395" ht="14.25" customHeight="1">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row>
    <row r="396" ht="14.25" customHeight="1">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row>
    <row r="397" ht="14.25" customHeight="1">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row>
    <row r="398" ht="14.25" customHeight="1">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row>
    <row r="399" ht="14.25" customHeight="1">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row>
    <row r="400" ht="14.25" customHeight="1">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row>
    <row r="401" ht="14.25" customHeight="1">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row>
    <row r="402" ht="14.25" customHeight="1">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row>
    <row r="403" ht="14.25" customHeight="1">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row>
    <row r="404" ht="14.25" customHeight="1">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row>
    <row r="405" ht="14.25" customHeight="1">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row>
    <row r="406" ht="14.25" customHeight="1">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row>
    <row r="407" ht="14.25" customHeight="1">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row>
    <row r="408" ht="14.25" customHeight="1">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row>
    <row r="409" ht="14.25" customHeight="1">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row>
    <row r="410" ht="14.25" customHeight="1">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row>
    <row r="411" ht="14.25" customHeight="1">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row>
    <row r="412" ht="14.25" customHeight="1">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row>
    <row r="413" ht="14.25" customHeight="1">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row>
    <row r="414" ht="14.25" customHeight="1">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row>
    <row r="415" ht="14.25" customHeight="1">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row>
    <row r="416" ht="14.25" customHeight="1">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row>
    <row r="417" ht="14.25" customHeight="1">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row>
    <row r="418" ht="14.25" customHeight="1">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row>
    <row r="419" ht="14.25" customHeight="1">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row>
    <row r="420" ht="14.25" customHeight="1">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row>
    <row r="421" ht="14.25" customHeight="1">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row>
    <row r="422" ht="14.25" customHeight="1">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row>
    <row r="423" ht="14.25" customHeight="1">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row>
    <row r="424" ht="14.25" customHeight="1">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row>
    <row r="425" ht="14.25" customHeight="1">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row>
    <row r="426" ht="14.25" customHeight="1">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row>
    <row r="427" ht="14.25" customHeight="1">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row>
    <row r="428" ht="14.25" customHeight="1">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row>
    <row r="429" ht="14.25" customHeight="1">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row>
    <row r="430" ht="14.25" customHeight="1">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row>
    <row r="431" ht="14.25" customHeight="1">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row>
    <row r="432" ht="14.25" customHeight="1">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row>
    <row r="433" ht="14.25" customHeight="1">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row>
    <row r="434" ht="14.25" customHeight="1">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row>
    <row r="435" ht="14.25" customHeight="1">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row>
    <row r="436" ht="14.25" customHeight="1">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row>
    <row r="437" ht="14.25" customHeight="1">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row>
    <row r="438" ht="14.25" customHeight="1">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row>
    <row r="439" ht="14.25" customHeight="1">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row>
    <row r="440" ht="14.25" customHeight="1">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row>
    <row r="441" ht="14.25" customHeight="1">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row>
    <row r="442" ht="14.25" customHeight="1">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row>
    <row r="443" ht="14.25" customHeight="1">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row>
    <row r="444" ht="14.25" customHeight="1">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row>
    <row r="445" ht="14.25" customHeight="1">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row>
    <row r="446" ht="14.25" customHeight="1">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row>
    <row r="447" ht="14.25" customHeight="1">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row>
    <row r="448" ht="14.25" customHeight="1">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row>
    <row r="449" ht="14.25" customHeight="1">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row>
    <row r="450" ht="14.25" customHeight="1">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row>
    <row r="451" ht="14.25" customHeight="1">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row>
    <row r="452" ht="14.25" customHeight="1">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row>
    <row r="453" ht="14.25" customHeight="1">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row>
    <row r="454" ht="14.25" customHeight="1">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row>
    <row r="455" ht="14.25" customHeight="1">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row>
    <row r="456" ht="14.25" customHeight="1">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row>
    <row r="457" ht="14.25" customHeight="1">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row>
    <row r="458" ht="14.25" customHeight="1">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row>
    <row r="459" ht="14.25" customHeight="1">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row>
    <row r="460" ht="14.25" customHeight="1">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row>
    <row r="461" ht="14.25" customHeight="1">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row>
    <row r="462" ht="14.25" customHeight="1">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row>
    <row r="463" ht="14.25" customHeight="1">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row>
    <row r="464" ht="14.25" customHeight="1">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row>
    <row r="465" ht="14.25" customHeight="1">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row>
    <row r="466" ht="14.25" customHeight="1">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row>
    <row r="467" ht="14.25" customHeight="1">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row>
    <row r="468" ht="14.25" customHeight="1">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row>
    <row r="469" ht="14.25" customHeight="1">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row>
    <row r="470" ht="14.25" customHeight="1">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row>
    <row r="471" ht="14.25" customHeight="1">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row>
    <row r="472" ht="14.25" customHeight="1">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row>
    <row r="473" ht="14.25" customHeight="1">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row>
    <row r="474" ht="14.25" customHeight="1">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row>
    <row r="475" ht="14.25" customHeight="1">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row>
    <row r="476" ht="14.25" customHeight="1">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row>
    <row r="477" ht="14.25" customHeight="1">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row>
    <row r="478" ht="14.25" customHeight="1">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row>
    <row r="479" ht="14.25" customHeight="1">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row>
    <row r="480" ht="14.25" customHeight="1">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row>
    <row r="481" ht="14.25" customHeight="1">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row>
    <row r="482" ht="14.25" customHeight="1">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row>
    <row r="483" ht="14.25" customHeight="1">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row>
    <row r="484" ht="14.25" customHeight="1">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row>
    <row r="485" ht="14.25" customHeight="1">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row>
    <row r="486" ht="14.25" customHeight="1">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row>
    <row r="487" ht="14.25" customHeight="1">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row>
    <row r="488" ht="14.25" customHeight="1">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row>
    <row r="489" ht="14.25" customHeight="1">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row>
    <row r="490" ht="14.25" customHeight="1">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row>
    <row r="491" ht="14.25" customHeight="1">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row>
    <row r="492" ht="14.25" customHeight="1">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row>
    <row r="493" ht="14.25" customHeight="1">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row>
    <row r="494" ht="14.25" customHeight="1">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row>
    <row r="495" ht="14.25" customHeight="1">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row>
    <row r="496" ht="14.25" customHeight="1">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row>
    <row r="497" ht="14.25" customHeight="1">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row>
    <row r="498" ht="14.25" customHeight="1">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row>
    <row r="499" ht="14.25" customHeight="1">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row>
    <row r="500" ht="14.25" customHeight="1">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row>
    <row r="501" ht="14.25" customHeight="1">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row>
    <row r="502" ht="14.25" customHeight="1">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row>
    <row r="503" ht="14.25" customHeight="1">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row>
    <row r="504" ht="14.25" customHeight="1">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row>
    <row r="505" ht="14.25" customHeight="1">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row>
    <row r="506" ht="14.25" customHeight="1">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row>
    <row r="507" ht="14.25" customHeight="1">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row>
    <row r="508" ht="14.25" customHeight="1">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row>
    <row r="509" ht="14.25" customHeight="1">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row>
    <row r="510" ht="14.25" customHeight="1">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row>
    <row r="511" ht="14.25" customHeight="1">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row>
    <row r="512" ht="14.25" customHeight="1">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row>
    <row r="513" ht="14.25" customHeight="1">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row>
    <row r="514" ht="14.25" customHeight="1">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row>
    <row r="515" ht="14.25" customHeight="1">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row>
    <row r="516" ht="14.25" customHeight="1">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row>
    <row r="517" ht="14.25" customHeight="1">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row>
    <row r="518" ht="14.25" customHeight="1">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row>
    <row r="519" ht="14.25" customHeight="1">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row>
    <row r="520" ht="14.25" customHeight="1">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row>
    <row r="521" ht="14.25" customHeight="1">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row>
    <row r="522" ht="14.25" customHeight="1">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row>
    <row r="523" ht="14.25" customHeight="1">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row>
    <row r="524" ht="14.25" customHeight="1">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row>
    <row r="525" ht="14.25" customHeight="1">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row>
    <row r="526" ht="14.25" customHeight="1">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row>
    <row r="527" ht="14.25" customHeight="1">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row>
    <row r="528" ht="14.25" customHeight="1">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row>
    <row r="529" ht="14.25" customHeight="1">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row>
    <row r="530" ht="14.25" customHeight="1">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row>
    <row r="531" ht="14.25" customHeight="1">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row>
    <row r="532" ht="14.25" customHeight="1">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row>
    <row r="533" ht="14.25" customHeight="1">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row>
    <row r="534" ht="14.25" customHeight="1">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row>
    <row r="535" ht="14.25" customHeight="1">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row>
    <row r="536" ht="14.25" customHeight="1">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row>
    <row r="537" ht="14.25" customHeight="1">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row>
    <row r="538" ht="14.25" customHeight="1">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row>
    <row r="539" ht="14.25" customHeight="1">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row>
    <row r="540" ht="14.25" customHeight="1">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row>
    <row r="541" ht="14.25" customHeight="1">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row>
    <row r="542" ht="14.25" customHeight="1">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row>
    <row r="543" ht="14.25" customHeight="1">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row>
    <row r="544" ht="14.25" customHeight="1">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row>
    <row r="545" ht="14.25" customHeight="1">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row>
    <row r="546" ht="14.25" customHeight="1">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row>
    <row r="547" ht="14.25" customHeight="1">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row>
    <row r="548" ht="14.25" customHeight="1">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row>
    <row r="549" ht="14.25" customHeight="1">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row>
    <row r="550" ht="14.25" customHeight="1">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row>
    <row r="551" ht="14.25" customHeight="1">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row>
    <row r="552" ht="14.25" customHeight="1">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row>
    <row r="553" ht="14.25" customHeight="1">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row>
    <row r="554" ht="14.25" customHeight="1">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row>
    <row r="555" ht="14.25" customHeight="1">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row>
    <row r="556" ht="14.25" customHeight="1">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row>
    <row r="557" ht="14.25" customHeight="1">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row>
    <row r="558" ht="14.25" customHeight="1">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row>
    <row r="559" ht="14.25" customHeight="1">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row>
    <row r="560" ht="14.25" customHeight="1">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row>
    <row r="561" ht="14.25" customHeight="1">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row>
    <row r="562" ht="14.25" customHeight="1">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row>
    <row r="563" ht="14.25" customHeight="1">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row>
    <row r="564" ht="14.25" customHeight="1">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row>
    <row r="565" ht="14.25" customHeight="1">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row>
    <row r="566" ht="14.25" customHeight="1">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row>
    <row r="567" ht="14.25" customHeight="1">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row>
    <row r="568" ht="14.25" customHeight="1">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row>
    <row r="569" ht="14.25" customHeight="1">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row>
    <row r="570" ht="14.25" customHeight="1">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row>
    <row r="571" ht="14.25" customHeight="1">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row>
    <row r="572" ht="14.25" customHeight="1">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row>
    <row r="573" ht="14.25" customHeight="1">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row>
    <row r="574" ht="14.25" customHeight="1">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row>
    <row r="575" ht="14.25" customHeight="1">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row>
    <row r="576" ht="14.25" customHeight="1">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row>
    <row r="577" ht="14.25" customHeight="1">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row>
    <row r="578" ht="14.25" customHeight="1">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row>
    <row r="579" ht="14.25" customHeight="1">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row>
    <row r="580" ht="14.25" customHeight="1">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row>
    <row r="581" ht="14.25" customHeight="1">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row>
    <row r="582" ht="14.25" customHeight="1">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row>
    <row r="583" ht="14.25" customHeight="1">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row>
    <row r="584" ht="14.25" customHeight="1">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row>
    <row r="585" ht="14.25" customHeight="1">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row>
    <row r="586" ht="14.25" customHeight="1">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row>
    <row r="587" ht="14.25" customHeight="1">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row>
    <row r="588" ht="14.25" customHeight="1">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row>
    <row r="589" ht="14.25" customHeight="1">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row>
    <row r="590" ht="14.25" customHeight="1">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row>
    <row r="591" ht="14.25" customHeight="1">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row>
    <row r="592" ht="14.25" customHeight="1">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row>
    <row r="593" ht="14.25" customHeight="1">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row>
    <row r="594" ht="14.25" customHeight="1">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row>
    <row r="595" ht="14.25" customHeight="1">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row>
    <row r="596" ht="14.25" customHeight="1">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row>
    <row r="597" ht="14.25" customHeight="1">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row>
    <row r="598" ht="14.25" customHeight="1">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row>
    <row r="599" ht="14.25" customHeight="1">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row>
    <row r="600" ht="14.25" customHeight="1">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row>
    <row r="601" ht="14.25" customHeight="1">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row>
    <row r="602" ht="14.25" customHeight="1">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row>
    <row r="603" ht="14.25" customHeight="1">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row>
    <row r="604" ht="14.25" customHeight="1">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row>
    <row r="605" ht="14.25" customHeight="1">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row>
    <row r="606" ht="14.25" customHeight="1">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row>
    <row r="607" ht="14.25" customHeight="1">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row>
    <row r="608" ht="14.25" customHeight="1">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row>
    <row r="609" ht="14.25" customHeight="1">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row>
    <row r="610" ht="14.25" customHeight="1">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row>
    <row r="611" ht="14.25" customHeight="1">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row>
    <row r="612" ht="14.25" customHeight="1">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row>
    <row r="613" ht="14.25" customHeight="1">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row>
    <row r="614" ht="14.25" customHeight="1">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row>
    <row r="615" ht="14.25" customHeight="1">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row>
    <row r="616" ht="14.25" customHeight="1">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row>
    <row r="617" ht="14.25" customHeight="1">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row>
    <row r="618" ht="14.25" customHeight="1">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row>
    <row r="619" ht="14.25" customHeight="1">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row>
    <row r="620" ht="14.25" customHeight="1">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row>
    <row r="621" ht="14.25" customHeight="1">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row>
    <row r="622" ht="14.25" customHeight="1">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row>
    <row r="623" ht="14.25" customHeight="1">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row>
    <row r="624" ht="14.25" customHeight="1">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row>
    <row r="625" ht="14.25" customHeight="1">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row>
    <row r="626" ht="14.25" customHeight="1">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row>
    <row r="627" ht="14.25" customHeight="1">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row>
    <row r="628" ht="14.25" customHeight="1">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row>
    <row r="629" ht="14.25" customHeight="1">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row>
    <row r="630" ht="14.25" customHeight="1">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row>
    <row r="631" ht="14.25" customHeight="1">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row>
    <row r="632" ht="14.25" customHeight="1">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row>
    <row r="633" ht="14.25" customHeight="1">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row>
    <row r="634" ht="14.25" customHeight="1">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row>
    <row r="635" ht="14.25" customHeight="1">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row>
    <row r="636" ht="14.25" customHeight="1">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row>
    <row r="637" ht="14.25" customHeight="1">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row>
    <row r="638" ht="14.25" customHeight="1">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row>
    <row r="639" ht="14.25" customHeight="1">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row>
    <row r="640" ht="14.25" customHeight="1">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row>
    <row r="641" ht="14.25" customHeight="1">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row>
    <row r="642" ht="14.25" customHeight="1">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row>
    <row r="643" ht="14.25" customHeight="1">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row>
    <row r="644" ht="14.25" customHeight="1">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row>
    <row r="645" ht="14.25" customHeight="1">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row>
    <row r="646" ht="14.25" customHeight="1">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row>
    <row r="647" ht="14.25" customHeight="1">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row>
    <row r="648" ht="14.25" customHeight="1">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row>
    <row r="649" ht="14.25" customHeight="1">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row>
    <row r="650" ht="14.25" customHeight="1">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row>
    <row r="651" ht="14.25" customHeight="1">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row>
    <row r="652" ht="14.25" customHeight="1">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row>
    <row r="653" ht="14.25" customHeight="1">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row>
    <row r="654" ht="14.25" customHeight="1">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row>
    <row r="655" ht="14.25" customHeight="1">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row>
    <row r="656" ht="14.25" customHeight="1">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row>
    <row r="657" ht="14.25" customHeight="1">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row>
    <row r="658" ht="14.25" customHeight="1">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row>
    <row r="659" ht="14.25" customHeight="1">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row>
    <row r="660" ht="14.25" customHeight="1">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row>
    <row r="661" ht="14.25" customHeight="1">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row>
    <row r="662" ht="14.25" customHeight="1">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row>
    <row r="663" ht="14.25" customHeight="1">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row>
    <row r="664" ht="14.25" customHeight="1">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row>
    <row r="665" ht="14.25" customHeight="1">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row>
    <row r="666" ht="14.25" customHeight="1">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row>
    <row r="667" ht="14.25" customHeight="1">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row>
    <row r="668" ht="14.25" customHeight="1">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row>
    <row r="669" ht="14.25" customHeight="1">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row>
    <row r="670" ht="14.25" customHeight="1">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row>
    <row r="671" ht="14.25" customHeight="1">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row>
    <row r="672" ht="14.25" customHeight="1">
      <c r="A672" s="195"/>
      <c r="B672" s="195"/>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row>
    <row r="673" ht="14.25" customHeight="1">
      <c r="A673" s="195"/>
      <c r="B673" s="195"/>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row>
    <row r="674" ht="14.25" customHeight="1">
      <c r="A674" s="195"/>
      <c r="B674" s="195"/>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row>
    <row r="675" ht="14.25" customHeight="1">
      <c r="A675" s="195"/>
      <c r="B675" s="195"/>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row>
    <row r="676" ht="14.25" customHeight="1">
      <c r="A676" s="195"/>
      <c r="B676" s="195"/>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row>
    <row r="677" ht="14.25" customHeight="1">
      <c r="A677" s="195"/>
      <c r="B677" s="195"/>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row>
    <row r="678" ht="14.25" customHeight="1">
      <c r="A678" s="195"/>
      <c r="B678" s="195"/>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row>
    <row r="679" ht="14.25" customHeight="1">
      <c r="A679" s="195"/>
      <c r="B679" s="195"/>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row>
    <row r="680" ht="14.25" customHeight="1">
      <c r="A680" s="195"/>
      <c r="B680" s="195"/>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row>
    <row r="681" ht="14.25" customHeight="1">
      <c r="A681" s="195"/>
      <c r="B681" s="195"/>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row>
    <row r="682" ht="14.25" customHeight="1">
      <c r="A682" s="195"/>
      <c r="B682" s="195"/>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row>
    <row r="683" ht="14.25" customHeight="1">
      <c r="A683" s="195"/>
      <c r="B683" s="195"/>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row>
    <row r="684" ht="14.25" customHeight="1">
      <c r="A684" s="195"/>
      <c r="B684" s="195"/>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row>
    <row r="685" ht="14.25" customHeight="1">
      <c r="A685" s="195"/>
      <c r="B685" s="195"/>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row>
    <row r="686" ht="14.25" customHeight="1">
      <c r="A686" s="195"/>
      <c r="B686" s="195"/>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row>
    <row r="687" ht="14.25" customHeight="1">
      <c r="A687" s="195"/>
      <c r="B687" s="195"/>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row>
    <row r="688" ht="14.25" customHeight="1">
      <c r="A688" s="195"/>
      <c r="B688" s="195"/>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row>
    <row r="689" ht="14.25" customHeight="1">
      <c r="A689" s="195"/>
      <c r="B689" s="195"/>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row>
    <row r="690" ht="14.25" customHeight="1">
      <c r="A690" s="195"/>
      <c r="B690" s="195"/>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row>
    <row r="691" ht="14.25" customHeight="1">
      <c r="A691" s="195"/>
      <c r="B691" s="195"/>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row>
    <row r="692" ht="14.25" customHeight="1">
      <c r="A692" s="195"/>
      <c r="B692" s="195"/>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row>
    <row r="693" ht="14.25" customHeight="1">
      <c r="A693" s="195"/>
      <c r="B693" s="195"/>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row>
    <row r="694" ht="14.25" customHeight="1">
      <c r="A694" s="195"/>
      <c r="B694" s="195"/>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row>
    <row r="695" ht="14.25" customHeight="1">
      <c r="A695" s="195"/>
      <c r="B695" s="195"/>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row>
    <row r="696" ht="14.25" customHeight="1">
      <c r="A696" s="195"/>
      <c r="B696" s="195"/>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row>
    <row r="697" ht="14.25" customHeight="1">
      <c r="A697" s="195"/>
      <c r="B697" s="195"/>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row>
    <row r="698" ht="14.25" customHeight="1">
      <c r="A698" s="195"/>
      <c r="B698" s="195"/>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row>
    <row r="699" ht="14.25" customHeight="1">
      <c r="A699" s="195"/>
      <c r="B699" s="195"/>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row>
    <row r="700" ht="14.25" customHeight="1">
      <c r="A700" s="195"/>
      <c r="B700" s="195"/>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row>
    <row r="701" ht="14.25" customHeight="1">
      <c r="A701" s="195"/>
      <c r="B701" s="195"/>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row>
    <row r="702" ht="14.25" customHeight="1">
      <c r="A702" s="195"/>
      <c r="B702" s="195"/>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row>
    <row r="703" ht="14.25" customHeight="1">
      <c r="A703" s="195"/>
      <c r="B703" s="195"/>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row>
    <row r="704" ht="14.25" customHeight="1">
      <c r="A704" s="195"/>
      <c r="B704" s="195"/>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row>
    <row r="705" ht="14.25" customHeight="1">
      <c r="A705" s="195"/>
      <c r="B705" s="195"/>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row>
    <row r="706" ht="14.25" customHeight="1">
      <c r="A706" s="195"/>
      <c r="B706" s="195"/>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row>
    <row r="707" ht="14.25" customHeight="1">
      <c r="A707" s="195"/>
      <c r="B707" s="195"/>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row>
    <row r="708" ht="14.25" customHeight="1">
      <c r="A708" s="195"/>
      <c r="B708" s="195"/>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row>
    <row r="709" ht="14.25" customHeight="1">
      <c r="A709" s="195"/>
      <c r="B709" s="195"/>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row>
    <row r="710" ht="14.25" customHeight="1">
      <c r="A710" s="195"/>
      <c r="B710" s="195"/>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row>
    <row r="711" ht="14.25" customHeight="1">
      <c r="A711" s="195"/>
      <c r="B711" s="195"/>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row>
    <row r="712" ht="14.25" customHeight="1">
      <c r="A712" s="195"/>
      <c r="B712" s="195"/>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row>
    <row r="713" ht="14.25" customHeight="1">
      <c r="A713" s="195"/>
      <c r="B713" s="195"/>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row>
    <row r="714" ht="14.25" customHeight="1">
      <c r="A714" s="195"/>
      <c r="B714" s="195"/>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row>
    <row r="715" ht="14.25" customHeight="1">
      <c r="A715" s="195"/>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row>
    <row r="716" ht="14.25" customHeight="1">
      <c r="A716" s="195"/>
      <c r="B716" s="195"/>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row>
    <row r="717" ht="14.25" customHeight="1">
      <c r="A717" s="195"/>
      <c r="B717" s="195"/>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row>
    <row r="718" ht="14.25" customHeight="1">
      <c r="A718" s="195"/>
      <c r="B718" s="195"/>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row>
    <row r="719" ht="14.25" customHeight="1">
      <c r="A719" s="195"/>
      <c r="B719" s="195"/>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row>
    <row r="720" ht="14.25" customHeight="1">
      <c r="A720" s="195"/>
      <c r="B720" s="195"/>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row>
    <row r="721" ht="14.25" customHeight="1">
      <c r="A721" s="195"/>
      <c r="B721" s="195"/>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row>
    <row r="722" ht="14.25" customHeight="1">
      <c r="A722" s="195"/>
      <c r="B722" s="195"/>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row>
    <row r="723" ht="14.25" customHeight="1">
      <c r="A723" s="195"/>
      <c r="B723" s="195"/>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row>
    <row r="724" ht="14.25" customHeight="1">
      <c r="A724" s="195"/>
      <c r="B724" s="195"/>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row>
    <row r="725" ht="14.25" customHeight="1">
      <c r="A725" s="195"/>
      <c r="B725" s="195"/>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row>
    <row r="726" ht="14.25" customHeight="1">
      <c r="A726" s="195"/>
      <c r="B726" s="195"/>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row>
    <row r="727" ht="14.25" customHeight="1">
      <c r="A727" s="195"/>
      <c r="B727" s="195"/>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row>
    <row r="728" ht="14.25" customHeight="1">
      <c r="A728" s="195"/>
      <c r="B728" s="195"/>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row>
    <row r="729" ht="14.25" customHeight="1">
      <c r="A729" s="195"/>
      <c r="B729" s="195"/>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row>
    <row r="730" ht="14.25" customHeight="1">
      <c r="A730" s="195"/>
      <c r="B730" s="195"/>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row>
    <row r="731" ht="14.25" customHeight="1">
      <c r="A731" s="195"/>
      <c r="B731" s="195"/>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row>
    <row r="732" ht="14.25" customHeight="1">
      <c r="A732" s="195"/>
      <c r="B732" s="195"/>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row>
    <row r="733" ht="14.25" customHeight="1">
      <c r="A733" s="195"/>
      <c r="B733" s="195"/>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row>
    <row r="734" ht="14.25" customHeight="1">
      <c r="A734" s="195"/>
      <c r="B734" s="195"/>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row>
    <row r="735" ht="14.25" customHeight="1">
      <c r="A735" s="195"/>
      <c r="B735" s="195"/>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row>
    <row r="736" ht="14.25" customHeight="1">
      <c r="A736" s="195"/>
      <c r="B736" s="195"/>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row>
    <row r="737" ht="14.25" customHeight="1">
      <c r="A737" s="195"/>
      <c r="B737" s="195"/>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row>
    <row r="738" ht="14.25" customHeight="1">
      <c r="A738" s="195"/>
      <c r="B738" s="195"/>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row>
    <row r="739" ht="14.25" customHeight="1">
      <c r="A739" s="195"/>
      <c r="B739" s="195"/>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row>
    <row r="740" ht="14.25" customHeight="1">
      <c r="A740" s="195"/>
      <c r="B740" s="195"/>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row>
    <row r="741" ht="14.25" customHeight="1">
      <c r="A741" s="195"/>
      <c r="B741" s="195"/>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row>
    <row r="742" ht="14.25" customHeight="1">
      <c r="A742" s="195"/>
      <c r="B742" s="195"/>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row>
    <row r="743" ht="14.25" customHeight="1">
      <c r="A743" s="195"/>
      <c r="B743" s="195"/>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row>
    <row r="744" ht="14.25" customHeight="1">
      <c r="A744" s="195"/>
      <c r="B744" s="195"/>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row>
    <row r="745" ht="14.25" customHeight="1">
      <c r="A745" s="195"/>
      <c r="B745" s="195"/>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row>
    <row r="746" ht="14.25" customHeight="1">
      <c r="A746" s="195"/>
      <c r="B746" s="195"/>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row>
    <row r="747" ht="14.25" customHeight="1">
      <c r="A747" s="195"/>
      <c r="B747" s="195"/>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row>
    <row r="748" ht="14.25" customHeight="1">
      <c r="A748" s="195"/>
      <c r="B748" s="195"/>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row>
    <row r="749" ht="14.25" customHeight="1">
      <c r="A749" s="195"/>
      <c r="B749" s="195"/>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row>
    <row r="750" ht="14.25" customHeight="1">
      <c r="A750" s="195"/>
      <c r="B750" s="195"/>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row>
    <row r="751" ht="14.25" customHeight="1">
      <c r="A751" s="195"/>
      <c r="B751" s="195"/>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row>
    <row r="752" ht="14.25" customHeight="1">
      <c r="A752" s="195"/>
      <c r="B752" s="195"/>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row>
    <row r="753" ht="14.25" customHeight="1">
      <c r="A753" s="195"/>
      <c r="B753" s="195"/>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row>
    <row r="754" ht="14.25" customHeight="1">
      <c r="A754" s="195"/>
      <c r="B754" s="195"/>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row>
    <row r="755" ht="14.25" customHeight="1">
      <c r="A755" s="195"/>
      <c r="B755" s="195"/>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row>
    <row r="756" ht="14.25" customHeight="1">
      <c r="A756" s="195"/>
      <c r="B756" s="195"/>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row>
    <row r="757" ht="14.25" customHeight="1">
      <c r="A757" s="195"/>
      <c r="B757" s="195"/>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row>
    <row r="758" ht="14.25" customHeight="1">
      <c r="A758" s="195"/>
      <c r="B758" s="195"/>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row>
    <row r="759" ht="14.25" customHeight="1">
      <c r="A759" s="195"/>
      <c r="B759" s="195"/>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row>
    <row r="760" ht="14.25" customHeight="1">
      <c r="A760" s="195"/>
      <c r="B760" s="195"/>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row>
    <row r="761" ht="14.25" customHeight="1">
      <c r="A761" s="195"/>
      <c r="B761" s="195"/>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row>
    <row r="762" ht="14.25" customHeight="1">
      <c r="A762" s="195"/>
      <c r="B762" s="195"/>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row>
    <row r="763" ht="14.25" customHeight="1">
      <c r="A763" s="195"/>
      <c r="B763" s="195"/>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row>
    <row r="764" ht="14.25" customHeight="1">
      <c r="A764" s="195"/>
      <c r="B764" s="195"/>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row>
    <row r="765" ht="14.25" customHeight="1">
      <c r="A765" s="195"/>
      <c r="B765" s="195"/>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row>
    <row r="766" ht="14.25" customHeight="1">
      <c r="A766" s="195"/>
      <c r="B766" s="195"/>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row>
    <row r="767" ht="14.25" customHeight="1">
      <c r="A767" s="195"/>
      <c r="B767" s="195"/>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row>
    <row r="768" ht="14.25" customHeight="1">
      <c r="A768" s="195"/>
      <c r="B768" s="195"/>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row>
    <row r="769" ht="14.25" customHeight="1">
      <c r="A769" s="195"/>
      <c r="B769" s="195"/>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row>
    <row r="770" ht="14.25" customHeight="1">
      <c r="A770" s="195"/>
      <c r="B770" s="195"/>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row>
    <row r="771" ht="14.25" customHeight="1">
      <c r="A771" s="195"/>
      <c r="B771" s="195"/>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row>
    <row r="772" ht="14.25" customHeight="1">
      <c r="A772" s="195"/>
      <c r="B772" s="195"/>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row>
    <row r="773" ht="14.25" customHeight="1">
      <c r="A773" s="195"/>
      <c r="B773" s="195"/>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row>
    <row r="774" ht="14.25" customHeight="1">
      <c r="A774" s="195"/>
      <c r="B774" s="195"/>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row>
    <row r="775" ht="14.25" customHeight="1">
      <c r="A775" s="195"/>
      <c r="B775" s="195"/>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row>
    <row r="776" ht="14.25" customHeight="1">
      <c r="A776" s="195"/>
      <c r="B776" s="195"/>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row>
    <row r="777" ht="14.25" customHeight="1">
      <c r="A777" s="195"/>
      <c r="B777" s="195"/>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row>
    <row r="778" ht="14.25" customHeight="1">
      <c r="A778" s="195"/>
      <c r="B778" s="195"/>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row>
    <row r="779" ht="14.25" customHeight="1">
      <c r="A779" s="195"/>
      <c r="B779" s="195"/>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row>
    <row r="780" ht="14.25" customHeight="1">
      <c r="A780" s="195"/>
      <c r="B780" s="195"/>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row>
    <row r="781" ht="14.25" customHeight="1">
      <c r="A781" s="195"/>
      <c r="B781" s="195"/>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row>
    <row r="782" ht="14.25" customHeight="1">
      <c r="A782" s="195"/>
      <c r="B782" s="195"/>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row>
    <row r="783" ht="14.25" customHeight="1">
      <c r="A783" s="195"/>
      <c r="B783" s="195"/>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row>
    <row r="784" ht="14.25" customHeight="1">
      <c r="A784" s="195"/>
      <c r="B784" s="195"/>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row>
    <row r="785" ht="14.25" customHeight="1">
      <c r="A785" s="195"/>
      <c r="B785" s="195"/>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row>
    <row r="786" ht="14.25" customHeight="1">
      <c r="A786" s="195"/>
      <c r="B786" s="195"/>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row>
    <row r="787" ht="14.25" customHeight="1">
      <c r="A787" s="195"/>
      <c r="B787" s="195"/>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row>
    <row r="788" ht="14.25" customHeight="1">
      <c r="A788" s="195"/>
      <c r="B788" s="195"/>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row>
    <row r="789" ht="14.25" customHeight="1">
      <c r="A789" s="195"/>
      <c r="B789" s="195"/>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row>
    <row r="790" ht="14.25" customHeight="1">
      <c r="A790" s="195"/>
      <c r="B790" s="195"/>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row>
    <row r="791" ht="14.25" customHeight="1">
      <c r="A791" s="195"/>
      <c r="B791" s="195"/>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row>
    <row r="792" ht="14.25" customHeight="1">
      <c r="A792" s="195"/>
      <c r="B792" s="195"/>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row>
    <row r="793" ht="14.25" customHeight="1">
      <c r="A793" s="195"/>
      <c r="B793" s="195"/>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row>
    <row r="794" ht="14.25" customHeight="1">
      <c r="A794" s="195"/>
      <c r="B794" s="195"/>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row>
    <row r="795" ht="14.25" customHeight="1">
      <c r="A795" s="195"/>
      <c r="B795" s="195"/>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row>
    <row r="796" ht="14.25" customHeight="1">
      <c r="A796" s="195"/>
      <c r="B796" s="195"/>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row>
    <row r="797" ht="14.25" customHeight="1">
      <c r="A797" s="195"/>
      <c r="B797" s="195"/>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row>
    <row r="798" ht="14.25" customHeight="1">
      <c r="A798" s="195"/>
      <c r="B798" s="195"/>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row>
    <row r="799" ht="14.25" customHeight="1">
      <c r="A799" s="195"/>
      <c r="B799" s="195"/>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row>
    <row r="800" ht="14.25" customHeight="1">
      <c r="A800" s="195"/>
      <c r="B800" s="195"/>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row>
    <row r="801" ht="14.25" customHeight="1">
      <c r="A801" s="195"/>
      <c r="B801" s="195"/>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row>
    <row r="802" ht="14.25" customHeight="1">
      <c r="A802" s="195"/>
      <c r="B802" s="195"/>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row>
    <row r="803" ht="14.25" customHeight="1">
      <c r="A803" s="195"/>
      <c r="B803" s="195"/>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row>
    <row r="804" ht="14.25" customHeight="1">
      <c r="A804" s="195"/>
      <c r="B804" s="195"/>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row>
    <row r="805" ht="14.25" customHeight="1">
      <c r="A805" s="195"/>
      <c r="B805" s="195"/>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row>
    <row r="806" ht="14.25" customHeight="1">
      <c r="A806" s="195"/>
      <c r="B806" s="195"/>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row>
    <row r="807" ht="14.25" customHeight="1">
      <c r="A807" s="195"/>
      <c r="B807" s="195"/>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row>
    <row r="808" ht="14.25" customHeight="1">
      <c r="A808" s="195"/>
      <c r="B808" s="195"/>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row>
    <row r="809" ht="14.25" customHeight="1">
      <c r="A809" s="195"/>
      <c r="B809" s="195"/>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row>
    <row r="810" ht="14.25" customHeight="1">
      <c r="A810" s="195"/>
      <c r="B810" s="195"/>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row>
    <row r="811" ht="14.25" customHeight="1">
      <c r="A811" s="195"/>
      <c r="B811" s="195"/>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row>
    <row r="812" ht="14.25" customHeight="1">
      <c r="A812" s="195"/>
      <c r="B812" s="195"/>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row>
    <row r="813" ht="14.25" customHeight="1">
      <c r="A813" s="195"/>
      <c r="B813" s="195"/>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row>
    <row r="814" ht="14.25" customHeight="1">
      <c r="A814" s="195"/>
      <c r="B814" s="195"/>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row>
    <row r="815" ht="14.25" customHeight="1">
      <c r="A815" s="195"/>
      <c r="B815" s="195"/>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row>
    <row r="816" ht="14.25" customHeight="1">
      <c r="A816" s="195"/>
      <c r="B816" s="195"/>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row>
    <row r="817" ht="14.25" customHeight="1">
      <c r="A817" s="195"/>
      <c r="B817" s="195"/>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row>
    <row r="818" ht="14.25" customHeight="1">
      <c r="A818" s="195"/>
      <c r="B818" s="195"/>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row>
    <row r="819" ht="14.25" customHeight="1">
      <c r="A819" s="195"/>
      <c r="B819" s="195"/>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row>
    <row r="820" ht="14.25" customHeight="1">
      <c r="A820" s="195"/>
      <c r="B820" s="195"/>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row>
    <row r="821" ht="14.25" customHeight="1">
      <c r="A821" s="195"/>
      <c r="B821" s="195"/>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row>
    <row r="822" ht="14.25" customHeight="1">
      <c r="A822" s="195"/>
      <c r="B822" s="195"/>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row>
    <row r="823" ht="14.25" customHeight="1">
      <c r="A823" s="195"/>
      <c r="B823" s="195"/>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row>
    <row r="824" ht="14.25" customHeight="1">
      <c r="A824" s="195"/>
      <c r="B824" s="195"/>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row>
    <row r="825" ht="14.25" customHeight="1">
      <c r="A825" s="195"/>
      <c r="B825" s="195"/>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row>
    <row r="826" ht="14.25" customHeight="1">
      <c r="A826" s="195"/>
      <c r="B826" s="195"/>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row>
    <row r="827" ht="14.25" customHeight="1">
      <c r="A827" s="195"/>
      <c r="B827" s="195"/>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row>
    <row r="828" ht="14.25" customHeight="1">
      <c r="A828" s="195"/>
      <c r="B828" s="195"/>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row>
    <row r="829" ht="14.25" customHeight="1">
      <c r="A829" s="195"/>
      <c r="B829" s="195"/>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row>
    <row r="830" ht="14.25" customHeight="1">
      <c r="A830" s="195"/>
      <c r="B830" s="195"/>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row>
    <row r="831" ht="14.25" customHeight="1">
      <c r="A831" s="195"/>
      <c r="B831" s="195"/>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row>
    <row r="832" ht="14.25" customHeight="1">
      <c r="A832" s="195"/>
      <c r="B832" s="195"/>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row>
    <row r="833" ht="14.25" customHeight="1">
      <c r="A833" s="195"/>
      <c r="B833" s="195"/>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row>
    <row r="834" ht="14.25" customHeight="1">
      <c r="A834" s="195"/>
      <c r="B834" s="195"/>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row>
    <row r="835" ht="14.25" customHeight="1">
      <c r="A835" s="195"/>
      <c r="B835" s="195"/>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row>
    <row r="836" ht="14.25" customHeight="1">
      <c r="A836" s="195"/>
      <c r="B836" s="195"/>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row>
    <row r="837" ht="14.25" customHeight="1">
      <c r="A837" s="195"/>
      <c r="B837" s="195"/>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row>
    <row r="838" ht="14.25" customHeight="1">
      <c r="A838" s="195"/>
      <c r="B838" s="195"/>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row>
    <row r="839" ht="14.25" customHeight="1">
      <c r="A839" s="195"/>
      <c r="B839" s="195"/>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row>
    <row r="840" ht="14.25" customHeight="1">
      <c r="A840" s="195"/>
      <c r="B840" s="195"/>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row>
    <row r="841" ht="14.25" customHeight="1">
      <c r="A841" s="195"/>
      <c r="B841" s="195"/>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row>
    <row r="842" ht="14.25" customHeight="1">
      <c r="A842" s="195"/>
      <c r="B842" s="195"/>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row>
    <row r="843" ht="14.25" customHeight="1">
      <c r="A843" s="195"/>
      <c r="B843" s="195"/>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row>
    <row r="844" ht="14.25" customHeight="1">
      <c r="A844" s="195"/>
      <c r="B844" s="195"/>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row>
    <row r="845" ht="14.25" customHeight="1">
      <c r="A845" s="195"/>
      <c r="B845" s="195"/>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row>
    <row r="846" ht="14.25" customHeight="1">
      <c r="A846" s="195"/>
      <c r="B846" s="195"/>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row>
    <row r="847" ht="14.25" customHeight="1">
      <c r="A847" s="195"/>
      <c r="B847" s="195"/>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row>
    <row r="848" ht="14.25" customHeight="1">
      <c r="A848" s="195"/>
      <c r="B848" s="195"/>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row>
    <row r="849" ht="14.25" customHeight="1">
      <c r="A849" s="195"/>
      <c r="B849" s="195"/>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row>
    <row r="850" ht="14.25" customHeight="1">
      <c r="A850" s="195"/>
      <c r="B850" s="195"/>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row>
    <row r="851" ht="14.25" customHeight="1">
      <c r="A851" s="195"/>
      <c r="B851" s="195"/>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row>
    <row r="852" ht="14.25" customHeight="1">
      <c r="A852" s="195"/>
      <c r="B852" s="195"/>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row>
    <row r="853" ht="14.25" customHeight="1">
      <c r="A853" s="195"/>
      <c r="B853" s="195"/>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row>
    <row r="854" ht="14.25" customHeight="1">
      <c r="A854" s="195"/>
      <c r="B854" s="195"/>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row>
    <row r="855" ht="14.25" customHeight="1">
      <c r="A855" s="195"/>
      <c r="B855" s="195"/>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row>
    <row r="856" ht="14.25" customHeight="1">
      <c r="A856" s="195"/>
      <c r="B856" s="195"/>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row>
    <row r="857" ht="14.25" customHeight="1">
      <c r="A857" s="195"/>
      <c r="B857" s="195"/>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row>
    <row r="858" ht="14.25" customHeight="1">
      <c r="A858" s="195"/>
      <c r="B858" s="195"/>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row>
    <row r="859" ht="14.25" customHeight="1">
      <c r="A859" s="195"/>
      <c r="B859" s="195"/>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row>
    <row r="860" ht="14.25" customHeight="1">
      <c r="A860" s="195"/>
      <c r="B860" s="195"/>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row>
    <row r="861" ht="14.25" customHeight="1">
      <c r="A861" s="195"/>
      <c r="B861" s="195"/>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row>
    <row r="862" ht="14.25" customHeight="1">
      <c r="A862" s="195"/>
      <c r="B862" s="195"/>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row>
    <row r="863" ht="14.25" customHeight="1">
      <c r="A863" s="195"/>
      <c r="B863" s="195"/>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row>
    <row r="864" ht="14.25" customHeight="1">
      <c r="A864" s="195"/>
      <c r="B864" s="195"/>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row>
    <row r="865" ht="14.25" customHeight="1">
      <c r="A865" s="195"/>
      <c r="B865" s="195"/>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row>
    <row r="866" ht="14.25" customHeight="1">
      <c r="A866" s="195"/>
      <c r="B866" s="195"/>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row>
    <row r="867" ht="14.25" customHeight="1">
      <c r="A867" s="195"/>
      <c r="B867" s="195"/>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row>
    <row r="868" ht="14.25" customHeight="1">
      <c r="A868" s="195"/>
      <c r="B868" s="195"/>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row>
    <row r="869" ht="14.25" customHeight="1">
      <c r="A869" s="195"/>
      <c r="B869" s="195"/>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row>
    <row r="870" ht="14.25" customHeight="1">
      <c r="A870" s="195"/>
      <c r="B870" s="195"/>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row>
    <row r="871" ht="14.25" customHeight="1">
      <c r="A871" s="195"/>
      <c r="B871" s="195"/>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row>
    <row r="872" ht="14.25" customHeight="1">
      <c r="A872" s="195"/>
      <c r="B872" s="195"/>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row>
    <row r="873" ht="14.25" customHeight="1">
      <c r="A873" s="195"/>
      <c r="B873" s="195"/>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row>
    <row r="874" ht="14.25" customHeight="1">
      <c r="A874" s="195"/>
      <c r="B874" s="195"/>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row>
    <row r="875" ht="14.25" customHeight="1">
      <c r="A875" s="195"/>
      <c r="B875" s="195"/>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row>
    <row r="876" ht="14.25" customHeight="1">
      <c r="A876" s="195"/>
      <c r="B876" s="195"/>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row>
    <row r="877" ht="14.25" customHeight="1">
      <c r="A877" s="195"/>
      <c r="B877" s="195"/>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row>
    <row r="878" ht="14.25" customHeight="1">
      <c r="A878" s="195"/>
      <c r="B878" s="195"/>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row>
    <row r="879" ht="14.25" customHeight="1">
      <c r="A879" s="195"/>
      <c r="B879" s="195"/>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row>
    <row r="880" ht="14.25" customHeight="1">
      <c r="A880" s="195"/>
      <c r="B880" s="195"/>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row>
    <row r="881" ht="14.25" customHeight="1">
      <c r="A881" s="195"/>
      <c r="B881" s="195"/>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row>
    <row r="882" ht="14.25" customHeight="1">
      <c r="A882" s="195"/>
      <c r="B882" s="195"/>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row>
    <row r="883" ht="14.25" customHeight="1">
      <c r="A883" s="195"/>
      <c r="B883" s="195"/>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row>
    <row r="884" ht="14.25" customHeight="1">
      <c r="A884" s="195"/>
      <c r="B884" s="195"/>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row>
    <row r="885" ht="14.25" customHeight="1">
      <c r="A885" s="195"/>
      <c r="B885" s="195"/>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row>
    <row r="886" ht="14.25" customHeight="1">
      <c r="A886" s="195"/>
      <c r="B886" s="195"/>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row>
    <row r="887" ht="14.25" customHeight="1">
      <c r="A887" s="195"/>
      <c r="B887" s="195"/>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row>
    <row r="888" ht="14.25" customHeight="1">
      <c r="A888" s="195"/>
      <c r="B888" s="195"/>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row>
    <row r="889" ht="14.25" customHeight="1">
      <c r="A889" s="195"/>
      <c r="B889" s="195"/>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row>
    <row r="890" ht="14.25" customHeight="1">
      <c r="A890" s="195"/>
      <c r="B890" s="195"/>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row>
    <row r="891" ht="14.25" customHeight="1">
      <c r="A891" s="195"/>
      <c r="B891" s="195"/>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row>
    <row r="892" ht="14.25" customHeight="1">
      <c r="A892" s="195"/>
      <c r="B892" s="195"/>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row>
    <row r="893" ht="14.25" customHeight="1">
      <c r="A893" s="195"/>
      <c r="B893" s="195"/>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row>
    <row r="894" ht="14.25" customHeight="1">
      <c r="A894" s="195"/>
      <c r="B894" s="195"/>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row>
    <row r="895" ht="14.25" customHeight="1">
      <c r="A895" s="195"/>
      <c r="B895" s="195"/>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row>
    <row r="896" ht="14.25" customHeight="1">
      <c r="A896" s="195"/>
      <c r="B896" s="195"/>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row>
    <row r="897" ht="14.25" customHeight="1">
      <c r="A897" s="195"/>
      <c r="B897" s="195"/>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row>
    <row r="898" ht="14.25" customHeight="1">
      <c r="A898" s="195"/>
      <c r="B898" s="195"/>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row>
    <row r="899" ht="14.25" customHeight="1">
      <c r="A899" s="195"/>
      <c r="B899" s="195"/>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row>
    <row r="900" ht="14.25" customHeight="1">
      <c r="A900" s="195"/>
      <c r="B900" s="195"/>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row>
    <row r="901" ht="14.25" customHeight="1">
      <c r="A901" s="195"/>
      <c r="B901" s="195"/>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row>
    <row r="902" ht="14.25" customHeight="1">
      <c r="A902" s="195"/>
      <c r="B902" s="195"/>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row>
    <row r="903" ht="14.25" customHeight="1">
      <c r="A903" s="195"/>
      <c r="B903" s="195"/>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row>
    <row r="904" ht="14.25" customHeight="1">
      <c r="A904" s="195"/>
      <c r="B904" s="195"/>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row>
    <row r="905" ht="14.25" customHeight="1">
      <c r="A905" s="195"/>
      <c r="B905" s="195"/>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row>
    <row r="906" ht="14.25" customHeight="1">
      <c r="A906" s="195"/>
      <c r="B906" s="195"/>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row>
    <row r="907" ht="14.25" customHeight="1">
      <c r="A907" s="195"/>
      <c r="B907" s="195"/>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row>
    <row r="908" ht="14.25" customHeight="1">
      <c r="A908" s="195"/>
      <c r="B908" s="195"/>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row>
    <row r="909" ht="14.25" customHeight="1">
      <c r="A909" s="195"/>
      <c r="B909" s="195"/>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row>
    <row r="910" ht="14.25" customHeight="1">
      <c r="A910" s="195"/>
      <c r="B910" s="195"/>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row>
    <row r="911" ht="14.25" customHeight="1">
      <c r="A911" s="195"/>
      <c r="B911" s="195"/>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row>
    <row r="912" ht="14.25" customHeight="1">
      <c r="A912" s="195"/>
      <c r="B912" s="195"/>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row>
    <row r="913" ht="14.25" customHeight="1">
      <c r="A913" s="195"/>
      <c r="B913" s="195"/>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row>
    <row r="914" ht="14.25" customHeight="1">
      <c r="A914" s="195"/>
      <c r="B914" s="195"/>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row>
    <row r="915" ht="14.25" customHeight="1">
      <c r="A915" s="195"/>
      <c r="B915" s="195"/>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row>
    <row r="916" ht="14.25" customHeight="1">
      <c r="A916" s="195"/>
      <c r="B916" s="195"/>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row>
    <row r="917" ht="14.25" customHeight="1">
      <c r="A917" s="195"/>
      <c r="B917" s="195"/>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row>
    <row r="918" ht="14.25" customHeight="1">
      <c r="A918" s="195"/>
      <c r="B918" s="195"/>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row>
    <row r="919" ht="14.25" customHeight="1">
      <c r="A919" s="195"/>
      <c r="B919" s="195"/>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row>
    <row r="920" ht="14.25" customHeight="1">
      <c r="A920" s="195"/>
      <c r="B920" s="195"/>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row>
    <row r="921" ht="14.25" customHeight="1">
      <c r="A921" s="195"/>
      <c r="B921" s="195"/>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row>
    <row r="922" ht="14.25" customHeight="1">
      <c r="A922" s="195"/>
      <c r="B922" s="195"/>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row>
    <row r="923" ht="14.25" customHeight="1">
      <c r="A923" s="195"/>
      <c r="B923" s="195"/>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row>
    <row r="924" ht="14.25" customHeight="1">
      <c r="A924" s="195"/>
      <c r="B924" s="195"/>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row>
    <row r="925" ht="14.25" customHeight="1">
      <c r="A925" s="195"/>
      <c r="B925" s="195"/>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row>
    <row r="926" ht="14.25" customHeight="1">
      <c r="A926" s="195"/>
      <c r="B926" s="195"/>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row>
    <row r="927" ht="14.25" customHeight="1">
      <c r="A927" s="195"/>
      <c r="B927" s="195"/>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row>
    <row r="928" ht="14.25" customHeight="1">
      <c r="A928" s="195"/>
      <c r="B928" s="195"/>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row>
    <row r="929" ht="14.25" customHeight="1">
      <c r="A929" s="195"/>
      <c r="B929" s="195"/>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row>
    <row r="930" ht="14.25" customHeight="1">
      <c r="A930" s="195"/>
      <c r="B930" s="195"/>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row>
    <row r="931" ht="14.25" customHeight="1">
      <c r="A931" s="195"/>
      <c r="B931" s="195"/>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row>
    <row r="932" ht="14.25" customHeight="1">
      <c r="A932" s="195"/>
      <c r="B932" s="195"/>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row>
    <row r="933" ht="14.25" customHeight="1">
      <c r="A933" s="195"/>
      <c r="B933" s="195"/>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row>
    <row r="934" ht="14.25" customHeight="1">
      <c r="A934" s="195"/>
      <c r="B934" s="195"/>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row>
    <row r="935" ht="14.25" customHeight="1">
      <c r="A935" s="195"/>
      <c r="B935" s="195"/>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row>
    <row r="936" ht="14.25" customHeight="1">
      <c r="A936" s="195"/>
      <c r="B936" s="195"/>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row>
    <row r="937" ht="14.25" customHeight="1">
      <c r="A937" s="195"/>
      <c r="B937" s="195"/>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row>
    <row r="938" ht="14.25" customHeight="1">
      <c r="A938" s="195"/>
      <c r="B938" s="195"/>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row>
    <row r="939" ht="14.25" customHeight="1">
      <c r="A939" s="195"/>
      <c r="B939" s="195"/>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row>
    <row r="940" ht="14.25" customHeight="1">
      <c r="A940" s="195"/>
      <c r="B940" s="195"/>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row>
    <row r="941" ht="14.25" customHeight="1">
      <c r="A941" s="195"/>
      <c r="B941" s="195"/>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row>
    <row r="942" ht="14.25" customHeight="1">
      <c r="A942" s="195"/>
      <c r="B942" s="195"/>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row>
    <row r="943" ht="14.25" customHeight="1">
      <c r="A943" s="195"/>
      <c r="B943" s="195"/>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row>
    <row r="944" ht="14.25" customHeight="1">
      <c r="A944" s="195"/>
      <c r="B944" s="195"/>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row>
    <row r="945" ht="14.25" customHeight="1">
      <c r="A945" s="195"/>
      <c r="B945" s="195"/>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row>
    <row r="946" ht="14.25" customHeight="1">
      <c r="A946" s="195"/>
      <c r="B946" s="195"/>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row>
    <row r="947" ht="14.25" customHeight="1">
      <c r="A947" s="195"/>
      <c r="B947" s="195"/>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row>
    <row r="948" ht="14.25" customHeight="1">
      <c r="A948" s="195"/>
      <c r="B948" s="195"/>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row>
    <row r="949" ht="14.25" customHeight="1">
      <c r="A949" s="195"/>
      <c r="B949" s="195"/>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row>
    <row r="950" ht="14.25" customHeight="1">
      <c r="A950" s="195"/>
      <c r="B950" s="195"/>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row>
    <row r="951" ht="14.25" customHeight="1">
      <c r="A951" s="195"/>
      <c r="B951" s="195"/>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row>
    <row r="952" ht="14.25" customHeight="1">
      <c r="A952" s="195"/>
      <c r="B952" s="195"/>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row>
    <row r="953" ht="14.25" customHeight="1">
      <c r="A953" s="195"/>
      <c r="B953" s="195"/>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row>
    <row r="954" ht="14.25" customHeight="1">
      <c r="A954" s="195"/>
      <c r="B954" s="195"/>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row>
    <row r="955" ht="14.25" customHeight="1">
      <c r="A955" s="195"/>
      <c r="B955" s="195"/>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row>
    <row r="956" ht="14.25" customHeight="1">
      <c r="A956" s="195"/>
      <c r="B956" s="195"/>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row>
    <row r="957" ht="14.25" customHeight="1">
      <c r="A957" s="195"/>
      <c r="B957" s="195"/>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row>
    <row r="958" ht="14.25" customHeight="1">
      <c r="A958" s="195"/>
      <c r="B958" s="195"/>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row>
    <row r="959" ht="14.25" customHeight="1">
      <c r="A959" s="195"/>
      <c r="B959" s="195"/>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row>
    <row r="960" ht="14.25" customHeight="1">
      <c r="A960" s="195"/>
      <c r="B960" s="195"/>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row>
    <row r="961" ht="14.25" customHeight="1">
      <c r="A961" s="195"/>
      <c r="B961" s="195"/>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row>
    <row r="962" ht="14.25" customHeight="1">
      <c r="A962" s="195"/>
      <c r="B962" s="195"/>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row>
    <row r="963" ht="14.25" customHeight="1">
      <c r="A963" s="195"/>
      <c r="B963" s="195"/>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row>
    <row r="964" ht="14.25" customHeight="1">
      <c r="A964" s="195"/>
      <c r="B964" s="195"/>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row>
    <row r="965" ht="14.25" customHeight="1">
      <c r="A965" s="195"/>
      <c r="B965" s="195"/>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row>
  </sheetData>
  <mergeCells count="4">
    <mergeCell ref="A1:N1"/>
    <mergeCell ref="A2:N2"/>
    <mergeCell ref="A4:N4"/>
    <mergeCell ref="A11:N11"/>
  </mergeCells>
  <conditionalFormatting sqref="A1:Z1 A2 O2:Z2">
    <cfRule type="containsText" dxfId="0" priority="1" operator="containsText" text="yes">
      <formula>NOT(ISERROR(SEARCH(("yes"),(A1))))</formula>
    </cfRule>
  </conditionalFormatting>
  <conditionalFormatting sqref="C5:K7">
    <cfRule type="containsText" dxfId="3" priority="2" operator="containsText" text="hoch">
      <formula>NOT(ISERROR(SEARCH(("hoch"),(C5))))</formula>
    </cfRule>
  </conditionalFormatting>
  <conditionalFormatting sqref="C5:K7">
    <cfRule type="containsText" dxfId="1" priority="3" operator="containsText" text="mittel">
      <formula>NOT(ISERROR(SEARCH(("mittel"),(C5))))</formula>
    </cfRule>
  </conditionalFormatting>
  <conditionalFormatting sqref="C5:K7">
    <cfRule type="containsText" dxfId="2" priority="4" operator="containsText" text="niedrig">
      <formula>NOT(ISERROR(SEARCH(("niedrig"),(C5))))</formula>
    </cfRule>
  </conditionalFormatting>
  <conditionalFormatting sqref="I5:J7">
    <cfRule type="expression" dxfId="4" priority="5">
      <formula>OR(B5="Actual positive", B5="Potential positive")</formula>
    </cfRule>
  </conditionalFormatting>
  <dataValidations>
    <dataValidation type="list" allowBlank="1" showErrorMessage="1" sqref="C5:C7 F5:F7 I5:I7">
      <formula1>'Assignment Table'!$A$3:$A$6</formula1>
    </dataValidation>
    <dataValidation type="list" allowBlank="1" showErrorMessage="1" sqref="B5:B7">
      <formula1>'Assignment Table'!$D$16:$D$19</formula1>
    </dataValidation>
    <dataValidation type="list" allowBlank="1" showErrorMessage="1" sqref="F12:F17">
      <formula1>'Assignment Table'!$A$29:$A$35</formula1>
    </dataValidation>
    <dataValidation type="list" allowBlank="1" showErrorMessage="1" sqref="C12:C17">
      <formula1>'Assignment Table'!$A$17:$A$23</formula1>
    </dataValidation>
    <dataValidation type="list" allowBlank="1" showErrorMessage="1" sqref="L5:L7">
      <formula1>'Assignment Table'!$D$2:$D$11</formula1>
    </dataValidation>
  </dataValidations>
  <printOptions/>
  <pageMargins bottom="0.787401575" footer="0.0" header="0.0" left="0.7" right="0.7"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workbookViewId="0"/>
  </sheetViews>
  <sheetFormatPr customHeight="1" defaultColWidth="14.43" defaultRowHeight="15.0"/>
  <cols>
    <col customWidth="1" min="1" max="1" width="60.71"/>
    <col customWidth="1" min="2" max="2" width="15.43"/>
    <col customWidth="1" min="3" max="3" width="29.43"/>
    <col customWidth="1" hidden="1" min="4" max="4" width="7.14"/>
    <col customWidth="1" hidden="1" min="5" max="5" width="9.43"/>
    <col customWidth="1" min="6" max="6" width="17.86"/>
    <col customWidth="1" hidden="1" min="7" max="7" width="9.86"/>
    <col customWidth="1" hidden="1" min="8" max="8" width="6.86"/>
    <col customWidth="1" min="9" max="9" width="22.43"/>
    <col customWidth="1" hidden="1" min="10" max="10" width="7.86"/>
    <col customWidth="1" hidden="1" min="11" max="11" width="11.14"/>
    <col customWidth="1" min="12" max="12" width="11.14"/>
    <col customWidth="1" min="13" max="13" width="13.0"/>
    <col customWidth="1" min="14" max="14" width="10.86"/>
    <col customWidth="1" min="15" max="26" width="11.57"/>
  </cols>
  <sheetData>
    <row r="1" ht="60.0" customHeight="1">
      <c r="A1" s="159" t="s">
        <v>263</v>
      </c>
      <c r="B1" s="160"/>
      <c r="C1" s="160"/>
      <c r="D1" s="160"/>
      <c r="E1" s="160"/>
      <c r="F1" s="160"/>
      <c r="G1" s="160"/>
      <c r="H1" s="160"/>
      <c r="I1" s="160"/>
      <c r="J1" s="160"/>
      <c r="K1" s="160"/>
      <c r="L1" s="160"/>
      <c r="M1" s="160"/>
      <c r="N1" s="161"/>
      <c r="O1" s="195"/>
      <c r="P1" s="195"/>
      <c r="Q1" s="195"/>
      <c r="R1" s="195"/>
      <c r="S1" s="195"/>
      <c r="T1" s="195"/>
      <c r="U1" s="195"/>
      <c r="V1" s="195"/>
      <c r="W1" s="195"/>
      <c r="X1" s="195"/>
      <c r="Y1" s="195"/>
      <c r="Z1" s="195"/>
    </row>
    <row r="2" ht="34.5" customHeight="1">
      <c r="A2" s="205" t="s">
        <v>264</v>
      </c>
      <c r="B2" s="70"/>
      <c r="C2" s="70"/>
      <c r="D2" s="70"/>
      <c r="E2" s="70"/>
      <c r="F2" s="70"/>
      <c r="G2" s="70"/>
      <c r="H2" s="70"/>
      <c r="I2" s="70"/>
      <c r="J2" s="70"/>
      <c r="K2" s="70"/>
      <c r="L2" s="70"/>
      <c r="M2" s="70"/>
      <c r="N2" s="71"/>
      <c r="O2" s="226"/>
      <c r="P2" s="226"/>
      <c r="Q2" s="226"/>
      <c r="R2" s="226"/>
      <c r="S2" s="226"/>
      <c r="T2" s="226"/>
      <c r="U2" s="226"/>
      <c r="V2" s="226"/>
      <c r="W2" s="226"/>
      <c r="X2" s="226"/>
      <c r="Y2" s="226"/>
      <c r="Z2" s="226"/>
    </row>
    <row r="3" ht="14.25" customHeight="1">
      <c r="A3" s="227" t="s">
        <v>232</v>
      </c>
      <c r="B3" s="228" t="s">
        <v>233</v>
      </c>
      <c r="C3" s="229" t="s">
        <v>234</v>
      </c>
      <c r="D3" s="229" t="s">
        <v>235</v>
      </c>
      <c r="E3" s="229" t="s">
        <v>236</v>
      </c>
      <c r="F3" s="229" t="s">
        <v>237</v>
      </c>
      <c r="G3" s="229" t="s">
        <v>235</v>
      </c>
      <c r="H3" s="229" t="s">
        <v>236</v>
      </c>
      <c r="I3" s="229" t="s">
        <v>238</v>
      </c>
      <c r="J3" s="229" t="s">
        <v>235</v>
      </c>
      <c r="K3" s="229" t="s">
        <v>236</v>
      </c>
      <c r="L3" s="229" t="s">
        <v>239</v>
      </c>
      <c r="M3" s="229" t="s">
        <v>240</v>
      </c>
      <c r="N3" s="230" t="s">
        <v>241</v>
      </c>
      <c r="O3" s="195"/>
      <c r="P3" s="195"/>
      <c r="Q3" s="195"/>
      <c r="R3" s="195"/>
      <c r="S3" s="195"/>
      <c r="T3" s="195"/>
      <c r="U3" s="195"/>
      <c r="V3" s="195"/>
      <c r="W3" s="195"/>
      <c r="X3" s="195"/>
      <c r="Y3" s="195"/>
      <c r="Z3" s="195"/>
    </row>
    <row r="4" ht="14.25" customHeight="1">
      <c r="A4" s="231" t="s">
        <v>170</v>
      </c>
      <c r="B4" s="160"/>
      <c r="C4" s="160"/>
      <c r="D4" s="160"/>
      <c r="E4" s="160"/>
      <c r="F4" s="160"/>
      <c r="G4" s="160"/>
      <c r="H4" s="160"/>
      <c r="I4" s="160"/>
      <c r="J4" s="160"/>
      <c r="K4" s="160"/>
      <c r="L4" s="160"/>
      <c r="M4" s="160"/>
      <c r="N4" s="209"/>
      <c r="O4" s="195"/>
      <c r="P4" s="195"/>
      <c r="Q4" s="195"/>
      <c r="R4" s="195"/>
      <c r="S4" s="195"/>
      <c r="T4" s="195"/>
      <c r="U4" s="195"/>
      <c r="V4" s="195"/>
      <c r="W4" s="195"/>
      <c r="X4" s="195"/>
      <c r="Y4" s="195"/>
      <c r="Z4" s="195"/>
    </row>
    <row r="5" ht="14.25" customHeight="1">
      <c r="A5" s="177" t="str">
        <f>IF('2. List of IROs'!C30="", "", '2. List of IROs'!C30)</f>
        <v>Impact S1-1</v>
      </c>
      <c r="B5" s="171"/>
      <c r="C5" s="210"/>
      <c r="D5" s="171" t="str">
        <f>IFERROR(VLOOKUP(C5,'Assignment Table'!$A$1:$B$6,2,FALSE),"")</f>
        <v/>
      </c>
      <c r="E5" s="171" t="str">
        <f t="shared" ref="E5:E7" si="1">IF(OR(D5="", L5=""), "", D5*L5)</f>
        <v/>
      </c>
      <c r="F5" s="171"/>
      <c r="G5" s="171" t="str">
        <f>IFERROR(VLOOKUP(F5,'Assignment Table'!$A$1:$K$6,2,FALSE),"")</f>
        <v/>
      </c>
      <c r="H5" s="171" t="str">
        <f t="shared" ref="H5:H7" si="2">IF(OR(G5="", L5=""), "", G5*L5)</f>
        <v/>
      </c>
      <c r="I5" s="171"/>
      <c r="J5" s="171" t="str">
        <f>IFERROR(VLOOKUP(I5,'Assignment Table'!$A$1:$K$6,2,FALSE),"")</f>
        <v/>
      </c>
      <c r="K5" s="171" t="str">
        <f t="shared" ref="K5:K7" si="3">IF(OR(J5="", L5=""), "", J5*L5)</f>
        <v/>
      </c>
      <c r="L5" s="171"/>
      <c r="M5" s="172" t="str">
        <f t="shared" ref="M5:M7" si="4">IF(OR(D5="", G5="", J5="", L5=""), "", IF(D5*G5*J5*L5=0, D5*G5*L5, D5*G5*J5*L5))</f>
        <v/>
      </c>
      <c r="N5" s="173" t="str">
        <f t="shared" ref="N5:N7" si="5">IF(OR(M5=""), "", IF(M5&gt;=1.5, "yes", "no"))</f>
        <v/>
      </c>
      <c r="O5" s="195"/>
      <c r="P5" s="195"/>
      <c r="Q5" s="195"/>
      <c r="R5" s="195"/>
      <c r="S5" s="195"/>
      <c r="T5" s="195"/>
      <c r="U5" s="195"/>
      <c r="V5" s="195"/>
      <c r="W5" s="195"/>
      <c r="X5" s="195"/>
      <c r="Y5" s="195"/>
      <c r="Z5" s="195"/>
    </row>
    <row r="6" ht="14.25" customHeight="1">
      <c r="A6" s="177" t="str">
        <f>IF('2. List of IROs'!C31="", "", '2. List of IROs'!C31)</f>
        <v>Impact S1-2</v>
      </c>
      <c r="B6" s="171"/>
      <c r="C6" s="171"/>
      <c r="D6" s="171" t="str">
        <f>IFERROR(VLOOKUP(C6,'Assignment Table'!$A$1:$B$6,2,FALSE),"")</f>
        <v/>
      </c>
      <c r="E6" s="171" t="str">
        <f t="shared" si="1"/>
        <v/>
      </c>
      <c r="F6" s="171"/>
      <c r="G6" s="171" t="str">
        <f>IFERROR(VLOOKUP(F6,'Assignment Table'!$A$1:$K$6,2,FALSE),"")</f>
        <v/>
      </c>
      <c r="H6" s="171" t="str">
        <f t="shared" si="2"/>
        <v/>
      </c>
      <c r="I6" s="171"/>
      <c r="J6" s="171" t="str">
        <f>IFERROR(VLOOKUP(I6,'Assignment Table'!$A$1:$K$6,2,FALSE),"")</f>
        <v/>
      </c>
      <c r="K6" s="171" t="str">
        <f t="shared" si="3"/>
        <v/>
      </c>
      <c r="L6" s="171"/>
      <c r="M6" s="172" t="str">
        <f t="shared" si="4"/>
        <v/>
      </c>
      <c r="N6" s="173" t="str">
        <f t="shared" si="5"/>
        <v/>
      </c>
      <c r="O6" s="195"/>
      <c r="P6" s="195"/>
      <c r="Q6" s="195"/>
      <c r="R6" s="195"/>
      <c r="S6" s="195"/>
      <c r="T6" s="195"/>
      <c r="U6" s="195"/>
      <c r="V6" s="195"/>
      <c r="W6" s="195"/>
      <c r="X6" s="195"/>
      <c r="Y6" s="195"/>
      <c r="Z6" s="195"/>
    </row>
    <row r="7" ht="14.25" customHeight="1">
      <c r="A7" s="177" t="str">
        <f>IF('2. List of IROs'!C32="", "", '2. List of IROs'!C32)</f>
        <v>Impact S1-3</v>
      </c>
      <c r="B7" s="171"/>
      <c r="C7" s="171"/>
      <c r="D7" s="171" t="str">
        <f>IFERROR(VLOOKUP(C7,'Assignment Table'!$A$1:$B$6,2,FALSE),"")</f>
        <v/>
      </c>
      <c r="E7" s="171" t="str">
        <f t="shared" si="1"/>
        <v/>
      </c>
      <c r="F7" s="171"/>
      <c r="G7" s="171" t="str">
        <f>IFERROR(VLOOKUP(F7,'Assignment Table'!$A$1:$K$6,2,FALSE),"")</f>
        <v/>
      </c>
      <c r="H7" s="171" t="str">
        <f t="shared" si="2"/>
        <v/>
      </c>
      <c r="I7" s="171"/>
      <c r="J7" s="171" t="str">
        <f>IFERROR(VLOOKUP(I7,'Assignment Table'!$A$1:$K$6,2,FALSE),"")</f>
        <v/>
      </c>
      <c r="K7" s="171" t="str">
        <f t="shared" si="3"/>
        <v/>
      </c>
      <c r="L7" s="171"/>
      <c r="M7" s="172" t="str">
        <f t="shared" si="4"/>
        <v/>
      </c>
      <c r="N7" s="173" t="str">
        <f t="shared" si="5"/>
        <v/>
      </c>
      <c r="O7" s="195"/>
      <c r="P7" s="195"/>
      <c r="Q7" s="195"/>
      <c r="R7" s="195"/>
      <c r="S7" s="195"/>
      <c r="T7" s="195"/>
      <c r="U7" s="195"/>
      <c r="V7" s="195"/>
      <c r="W7" s="195"/>
      <c r="X7" s="195"/>
      <c r="Y7" s="195"/>
      <c r="Z7" s="195"/>
    </row>
    <row r="8" ht="14.25" customHeight="1">
      <c r="A8" s="231" t="s">
        <v>181</v>
      </c>
      <c r="B8" s="160"/>
      <c r="C8" s="160"/>
      <c r="D8" s="160"/>
      <c r="E8" s="160"/>
      <c r="F8" s="160"/>
      <c r="G8" s="160"/>
      <c r="H8" s="160"/>
      <c r="I8" s="160"/>
      <c r="J8" s="160"/>
      <c r="K8" s="160"/>
      <c r="L8" s="160"/>
      <c r="M8" s="160"/>
      <c r="N8" s="209"/>
      <c r="O8" s="195"/>
      <c r="P8" s="195"/>
      <c r="Q8" s="195"/>
      <c r="R8" s="195"/>
      <c r="S8" s="195"/>
      <c r="T8" s="195"/>
      <c r="U8" s="195"/>
      <c r="V8" s="195"/>
      <c r="W8" s="195"/>
      <c r="X8" s="195"/>
      <c r="Y8" s="195"/>
      <c r="Z8" s="195"/>
    </row>
    <row r="9" ht="14.25" customHeight="1">
      <c r="A9" s="177" t="str">
        <f>IF('2. List of IROs'!C34="","",'2. List of IROs'!C34)</f>
        <v>Impact S2-1</v>
      </c>
      <c r="B9" s="171"/>
      <c r="C9" s="171"/>
      <c r="D9" s="171" t="str">
        <f>IFERROR(VLOOKUP(C9,'Assignment Table'!$A$1:$B$6,2,FALSE),"")</f>
        <v/>
      </c>
      <c r="E9" s="171" t="str">
        <f t="shared" ref="E9:E11" si="6">IF(OR(D9="", L9=""), "", D9*L9)</f>
        <v/>
      </c>
      <c r="F9" s="171"/>
      <c r="G9" s="171" t="str">
        <f>IFERROR(VLOOKUP(F9,'Assignment Table'!$A$1:$K$6,2,FALSE),"")</f>
        <v/>
      </c>
      <c r="H9" s="171" t="str">
        <f t="shared" ref="H9:H11" si="7">IF(OR(G9="", L9=""), "", G9*L9)</f>
        <v/>
      </c>
      <c r="I9" s="171"/>
      <c r="J9" s="171" t="str">
        <f>IFERROR(VLOOKUP(I9,'Assignment Table'!$A$1:$K$6,2,FALSE),"")</f>
        <v/>
      </c>
      <c r="K9" s="171" t="str">
        <f t="shared" ref="K9:K11" si="8">IF(OR(J9="", L9=""), "", J9*L9)</f>
        <v/>
      </c>
      <c r="L9" s="171"/>
      <c r="M9" s="172" t="str">
        <f t="shared" ref="M9:M11" si="9">IF(OR(D9="", G9="", J9="", L9=""), "", IF(D9*G9*J9*L9=0, D9*G9*L9, D9*G9*J9*L9))</f>
        <v/>
      </c>
      <c r="N9" s="173" t="str">
        <f t="shared" ref="N9:N11" si="10">IF(OR(M9=""), "", IF(M9&gt;=1.5, "yes", "no"))</f>
        <v/>
      </c>
      <c r="O9" s="195"/>
      <c r="P9" s="195"/>
      <c r="Q9" s="195"/>
      <c r="R9" s="195"/>
      <c r="S9" s="195"/>
      <c r="T9" s="195"/>
      <c r="U9" s="195"/>
      <c r="V9" s="195"/>
      <c r="W9" s="195"/>
      <c r="X9" s="195"/>
      <c r="Y9" s="195"/>
      <c r="Z9" s="195"/>
    </row>
    <row r="10" ht="14.25" customHeight="1">
      <c r="A10" s="177" t="str">
        <f>IF('2. List of IROs'!C35="","",'2. List of IROs'!C35)</f>
        <v>Impact S2-2</v>
      </c>
      <c r="B10" s="171"/>
      <c r="C10" s="171"/>
      <c r="D10" s="171" t="str">
        <f>IFERROR(VLOOKUP(C10,'Assignment Table'!$A$1:$B$6,2,FALSE),"")</f>
        <v/>
      </c>
      <c r="E10" s="171" t="str">
        <f t="shared" si="6"/>
        <v/>
      </c>
      <c r="F10" s="171"/>
      <c r="G10" s="171" t="str">
        <f>IFERROR(VLOOKUP(F10,'Assignment Table'!$A$1:$K$6,2,FALSE),"")</f>
        <v/>
      </c>
      <c r="H10" s="171" t="str">
        <f t="shared" si="7"/>
        <v/>
      </c>
      <c r="I10" s="171"/>
      <c r="J10" s="171" t="str">
        <f>IFERROR(VLOOKUP(I10,'Assignment Table'!$A$1:$K$6,2,FALSE),"")</f>
        <v/>
      </c>
      <c r="K10" s="171" t="str">
        <f t="shared" si="8"/>
        <v/>
      </c>
      <c r="L10" s="171"/>
      <c r="M10" s="172" t="str">
        <f t="shared" si="9"/>
        <v/>
      </c>
      <c r="N10" s="173" t="str">
        <f t="shared" si="10"/>
        <v/>
      </c>
      <c r="O10" s="195"/>
      <c r="P10" s="195"/>
      <c r="Q10" s="195"/>
      <c r="R10" s="195"/>
      <c r="S10" s="195"/>
      <c r="T10" s="195"/>
      <c r="U10" s="195"/>
      <c r="V10" s="195"/>
      <c r="W10" s="195"/>
      <c r="X10" s="195"/>
      <c r="Y10" s="195"/>
      <c r="Z10" s="195"/>
    </row>
    <row r="11" ht="14.25" customHeight="1">
      <c r="A11" s="177" t="str">
        <f>IF('2. List of IROs'!C36="","",'2. List of IROs'!C36)</f>
        <v>Impact S2-3</v>
      </c>
      <c r="B11" s="171"/>
      <c r="C11" s="171"/>
      <c r="D11" s="171" t="str">
        <f>IFERROR(VLOOKUP(C11,'Assignment Table'!$A$1:$B$6,2,FALSE),"")</f>
        <v/>
      </c>
      <c r="E11" s="171" t="str">
        <f t="shared" si="6"/>
        <v/>
      </c>
      <c r="F11" s="171"/>
      <c r="G11" s="171" t="str">
        <f>IFERROR(VLOOKUP(F11,'Assignment Table'!$A$1:$K$6,2,FALSE),"")</f>
        <v/>
      </c>
      <c r="H11" s="171" t="str">
        <f t="shared" si="7"/>
        <v/>
      </c>
      <c r="I11" s="171"/>
      <c r="J11" s="171" t="str">
        <f>IFERROR(VLOOKUP(I11,'Assignment Table'!$A$1:$K$6,2,FALSE),"")</f>
        <v/>
      </c>
      <c r="K11" s="171" t="str">
        <f t="shared" si="8"/>
        <v/>
      </c>
      <c r="L11" s="171"/>
      <c r="M11" s="172" t="str">
        <f t="shared" si="9"/>
        <v/>
      </c>
      <c r="N11" s="173" t="str">
        <f t="shared" si="10"/>
        <v/>
      </c>
      <c r="O11" s="195"/>
      <c r="P11" s="195"/>
      <c r="Q11" s="195"/>
      <c r="R11" s="195"/>
      <c r="S11" s="195"/>
      <c r="T11" s="195"/>
      <c r="U11" s="195"/>
      <c r="V11" s="195"/>
      <c r="W11" s="195"/>
      <c r="X11" s="195"/>
      <c r="Y11" s="195"/>
      <c r="Z11" s="195"/>
    </row>
    <row r="12" ht="14.25" customHeight="1">
      <c r="A12" s="231" t="s">
        <v>191</v>
      </c>
      <c r="B12" s="160"/>
      <c r="C12" s="160"/>
      <c r="D12" s="160"/>
      <c r="E12" s="160"/>
      <c r="F12" s="160"/>
      <c r="G12" s="160"/>
      <c r="H12" s="160"/>
      <c r="I12" s="160"/>
      <c r="J12" s="160"/>
      <c r="K12" s="160"/>
      <c r="L12" s="160"/>
      <c r="M12" s="160"/>
      <c r="N12" s="209"/>
      <c r="O12" s="195"/>
      <c r="P12" s="195"/>
      <c r="Q12" s="195"/>
      <c r="R12" s="195"/>
      <c r="S12" s="195"/>
      <c r="T12" s="195"/>
      <c r="U12" s="195"/>
      <c r="V12" s="195"/>
      <c r="W12" s="195"/>
      <c r="X12" s="195"/>
      <c r="Y12" s="195"/>
      <c r="Z12" s="195"/>
    </row>
    <row r="13" ht="14.25" customHeight="1">
      <c r="A13" s="177" t="str">
        <f>IF('2. List of IROs'!C38="","",'2. List of IROs'!C38)</f>
        <v>Impact S3-1</v>
      </c>
      <c r="B13" s="171"/>
      <c r="C13" s="171"/>
      <c r="D13" s="171" t="str">
        <f>IFERROR(VLOOKUP(C13,'Assignment Table'!$A$1:$B$6,2,FALSE),"")</f>
        <v/>
      </c>
      <c r="E13" s="171" t="str">
        <f t="shared" ref="E13:E15" si="11">IF(OR(D13="", L13=""), "", D13*L13)</f>
        <v/>
      </c>
      <c r="F13" s="171"/>
      <c r="G13" s="171" t="str">
        <f>IFERROR(VLOOKUP(F13,'Assignment Table'!$A$1:$K$6,2,FALSE),"")</f>
        <v/>
      </c>
      <c r="H13" s="171" t="str">
        <f t="shared" ref="H13:H15" si="12">IF(OR(G13="", L13=""), "", G13*L13)</f>
        <v/>
      </c>
      <c r="I13" s="171"/>
      <c r="J13" s="171" t="str">
        <f>IFERROR(VLOOKUP(I13,'Assignment Table'!$A$1:$K$6,2,FALSE),"")</f>
        <v/>
      </c>
      <c r="K13" s="171" t="str">
        <f t="shared" ref="K13:K15" si="13">IF(OR(J13="", L13=""), "", J13*L13)</f>
        <v/>
      </c>
      <c r="L13" s="171"/>
      <c r="M13" s="172" t="str">
        <f t="shared" ref="M13:M15" si="14">IF(OR(D13="", G13="", J13="", L13=""), "", IF(D13*G13*J13*L13=0, D13*G13*L13, D13*G13*J13*L13))</f>
        <v/>
      </c>
      <c r="N13" s="173" t="str">
        <f t="shared" ref="N13:N15" si="15">IF(OR(M13=""), "", IF(M13&gt;=1.5, "yes", "no"))</f>
        <v/>
      </c>
      <c r="O13" s="195"/>
      <c r="P13" s="195"/>
      <c r="Q13" s="195"/>
      <c r="R13" s="195"/>
      <c r="S13" s="195"/>
      <c r="T13" s="195"/>
      <c r="U13" s="195"/>
      <c r="V13" s="195"/>
      <c r="W13" s="195"/>
      <c r="X13" s="195"/>
      <c r="Y13" s="195"/>
      <c r="Z13" s="195"/>
    </row>
    <row r="14" ht="14.25" customHeight="1">
      <c r="A14" s="177" t="str">
        <f>IF('2. List of IROs'!C39="","",'2. List of IROs'!C39)</f>
        <v>Impact S3-2</v>
      </c>
      <c r="B14" s="171"/>
      <c r="C14" s="171"/>
      <c r="D14" s="171" t="str">
        <f>IFERROR(VLOOKUP(C14,'Assignment Table'!$A$1:$B$6,2,FALSE),"")</f>
        <v/>
      </c>
      <c r="E14" s="171" t="str">
        <f t="shared" si="11"/>
        <v/>
      </c>
      <c r="F14" s="171"/>
      <c r="G14" s="171" t="str">
        <f>IFERROR(VLOOKUP(F14,'Assignment Table'!$A$1:$K$6,2,FALSE),"")</f>
        <v/>
      </c>
      <c r="H14" s="171" t="str">
        <f t="shared" si="12"/>
        <v/>
      </c>
      <c r="I14" s="171"/>
      <c r="J14" s="171" t="str">
        <f>IFERROR(VLOOKUP(I14,'Assignment Table'!$A$1:$K$6,2,FALSE),"")</f>
        <v/>
      </c>
      <c r="K14" s="171" t="str">
        <f t="shared" si="13"/>
        <v/>
      </c>
      <c r="L14" s="171"/>
      <c r="M14" s="172" t="str">
        <f t="shared" si="14"/>
        <v/>
      </c>
      <c r="N14" s="173" t="str">
        <f t="shared" si="15"/>
        <v/>
      </c>
      <c r="O14" s="195"/>
      <c r="P14" s="195"/>
      <c r="Q14" s="195"/>
      <c r="R14" s="195"/>
      <c r="S14" s="195"/>
      <c r="T14" s="195"/>
      <c r="U14" s="195"/>
      <c r="V14" s="195"/>
      <c r="W14" s="195"/>
      <c r="X14" s="195"/>
      <c r="Y14" s="195"/>
      <c r="Z14" s="195"/>
    </row>
    <row r="15" ht="14.25" customHeight="1">
      <c r="A15" s="177" t="str">
        <f>IF('2. List of IROs'!C40="","",'2. List of IROs'!C40)</f>
        <v>Impact S3-3</v>
      </c>
      <c r="B15" s="171"/>
      <c r="C15" s="171"/>
      <c r="D15" s="171" t="str">
        <f>IFERROR(VLOOKUP(C15,'Assignment Table'!$A$1:$B$6,2,FALSE),"")</f>
        <v/>
      </c>
      <c r="E15" s="171" t="str">
        <f t="shared" si="11"/>
        <v/>
      </c>
      <c r="F15" s="171"/>
      <c r="G15" s="171" t="str">
        <f>IFERROR(VLOOKUP(F15,'Assignment Table'!$A$1:$K$6,2,FALSE),"")</f>
        <v/>
      </c>
      <c r="H15" s="171" t="str">
        <f t="shared" si="12"/>
        <v/>
      </c>
      <c r="I15" s="171"/>
      <c r="J15" s="171" t="str">
        <f>IFERROR(VLOOKUP(I15,'Assignment Table'!$A$1:$K$6,2,FALSE),"")</f>
        <v/>
      </c>
      <c r="K15" s="171" t="str">
        <f t="shared" si="13"/>
        <v/>
      </c>
      <c r="L15" s="171"/>
      <c r="M15" s="172" t="str">
        <f t="shared" si="14"/>
        <v/>
      </c>
      <c r="N15" s="173" t="str">
        <f t="shared" si="15"/>
        <v/>
      </c>
      <c r="O15" s="195"/>
      <c r="P15" s="195"/>
      <c r="Q15" s="195"/>
      <c r="R15" s="195"/>
      <c r="S15" s="195"/>
      <c r="T15" s="195"/>
      <c r="U15" s="195"/>
      <c r="V15" s="195"/>
      <c r="W15" s="195"/>
      <c r="X15" s="195"/>
      <c r="Y15" s="195"/>
      <c r="Z15" s="195"/>
    </row>
    <row r="16" ht="14.25" customHeight="1">
      <c r="A16" s="231" t="s">
        <v>201</v>
      </c>
      <c r="B16" s="160"/>
      <c r="C16" s="160"/>
      <c r="D16" s="160"/>
      <c r="E16" s="160"/>
      <c r="F16" s="160"/>
      <c r="G16" s="160"/>
      <c r="H16" s="160"/>
      <c r="I16" s="160"/>
      <c r="J16" s="160"/>
      <c r="K16" s="160"/>
      <c r="L16" s="160"/>
      <c r="M16" s="160"/>
      <c r="N16" s="209"/>
      <c r="O16" s="195"/>
      <c r="P16" s="195"/>
      <c r="Q16" s="195"/>
      <c r="R16" s="195"/>
      <c r="S16" s="195"/>
      <c r="T16" s="195"/>
      <c r="U16" s="195"/>
      <c r="V16" s="195"/>
      <c r="W16" s="195"/>
      <c r="X16" s="195"/>
      <c r="Y16" s="195"/>
      <c r="Z16" s="195"/>
    </row>
    <row r="17" ht="14.25" customHeight="1">
      <c r="A17" s="177" t="str">
        <f>IF('2. List of IROs'!C42="","",'2. List of IROs'!C42)</f>
        <v>Impact S4-1</v>
      </c>
      <c r="B17" s="171"/>
      <c r="C17" s="171"/>
      <c r="D17" s="171" t="str">
        <f>IFERROR(VLOOKUP(C17,'Assignment Table'!$A$1:$B$6,2,FALSE),"")</f>
        <v/>
      </c>
      <c r="E17" s="171" t="str">
        <f t="shared" ref="E17:E19" si="16">IF(OR(D17="", L17=""), "", D17*L17)</f>
        <v/>
      </c>
      <c r="F17" s="171"/>
      <c r="G17" s="171" t="str">
        <f>IFERROR(VLOOKUP(F17,'Assignment Table'!$A$1:$K$6,2,FALSE),"")</f>
        <v/>
      </c>
      <c r="H17" s="171" t="str">
        <f t="shared" ref="H17:H19" si="17">IF(OR(G17="", L17=""), "", G17*L17)</f>
        <v/>
      </c>
      <c r="I17" s="171"/>
      <c r="J17" s="171" t="str">
        <f>IFERROR(VLOOKUP(I17,'Assignment Table'!$A$1:$K$6,2,FALSE),"")</f>
        <v/>
      </c>
      <c r="K17" s="171" t="str">
        <f t="shared" ref="K17:K19" si="18">IF(OR(J17="", L17=""), "", J17*L17)</f>
        <v/>
      </c>
      <c r="L17" s="171"/>
      <c r="M17" s="172" t="str">
        <f t="shared" ref="M17:M19" si="19">IF(OR(D17="", G17="", J17="", L17=""), "", IF(D17*G17*J17*L17=0, D17*G17*L17, D17*G17*J17*L17))</f>
        <v/>
      </c>
      <c r="N17" s="173" t="str">
        <f t="shared" ref="N17:N19" si="20">IF(OR(M17=""), "", IF(M17&gt;=1.5, "yes", "no"))</f>
        <v/>
      </c>
      <c r="O17" s="195"/>
      <c r="P17" s="195"/>
      <c r="Q17" s="195"/>
      <c r="R17" s="195"/>
      <c r="S17" s="195"/>
      <c r="T17" s="195"/>
      <c r="U17" s="195"/>
      <c r="V17" s="195"/>
      <c r="W17" s="195"/>
      <c r="X17" s="195"/>
      <c r="Y17" s="195"/>
      <c r="Z17" s="195"/>
    </row>
    <row r="18" ht="14.25" customHeight="1">
      <c r="A18" s="177" t="str">
        <f>IF('2. List of IROs'!C43="","",'2. List of IROs'!C43)</f>
        <v>Impact S4-2</v>
      </c>
      <c r="B18" s="171"/>
      <c r="C18" s="171"/>
      <c r="D18" s="171" t="str">
        <f>IFERROR(VLOOKUP(C18,'Assignment Table'!$A$1:$B$6,2,FALSE),"")</f>
        <v/>
      </c>
      <c r="E18" s="171" t="str">
        <f t="shared" si="16"/>
        <v/>
      </c>
      <c r="F18" s="171"/>
      <c r="G18" s="171" t="str">
        <f>IFERROR(VLOOKUP(F18,'Assignment Table'!$A$1:$K$6,2,FALSE),"")</f>
        <v/>
      </c>
      <c r="H18" s="171" t="str">
        <f t="shared" si="17"/>
        <v/>
      </c>
      <c r="I18" s="171"/>
      <c r="J18" s="171" t="str">
        <f>IFERROR(VLOOKUP(I18,'Assignment Table'!$A$1:$K$6,2,FALSE),"")</f>
        <v/>
      </c>
      <c r="K18" s="171" t="str">
        <f t="shared" si="18"/>
        <v/>
      </c>
      <c r="L18" s="171"/>
      <c r="M18" s="172" t="str">
        <f t="shared" si="19"/>
        <v/>
      </c>
      <c r="N18" s="173" t="str">
        <f t="shared" si="20"/>
        <v/>
      </c>
      <c r="O18" s="195"/>
      <c r="P18" s="195"/>
      <c r="Q18" s="195"/>
      <c r="R18" s="195"/>
      <c r="S18" s="195"/>
      <c r="T18" s="195"/>
      <c r="U18" s="195"/>
      <c r="V18" s="195"/>
      <c r="W18" s="195"/>
      <c r="X18" s="195"/>
      <c r="Y18" s="195"/>
      <c r="Z18" s="195"/>
    </row>
    <row r="19" ht="14.25" customHeight="1">
      <c r="A19" s="178" t="str">
        <f>IF('2. List of IROs'!C44="","",'2. List of IROs'!C44)</f>
        <v>Impact S4-3</v>
      </c>
      <c r="B19" s="179"/>
      <c r="C19" s="179"/>
      <c r="D19" s="179" t="str">
        <f>IFERROR(VLOOKUP(C19,'Assignment Table'!$A$1:$B$6,2,FALSE),"")</f>
        <v/>
      </c>
      <c r="E19" s="179" t="str">
        <f t="shared" si="16"/>
        <v/>
      </c>
      <c r="F19" s="179"/>
      <c r="G19" s="179" t="str">
        <f>IFERROR(VLOOKUP(F19,'Assignment Table'!$A$1:$K$6,2,FALSE),"")</f>
        <v/>
      </c>
      <c r="H19" s="179" t="str">
        <f t="shared" si="17"/>
        <v/>
      </c>
      <c r="I19" s="179"/>
      <c r="J19" s="179" t="str">
        <f>IFERROR(VLOOKUP(I19,'Assignment Table'!$A$1:$K$6,2,FALSE),"")</f>
        <v/>
      </c>
      <c r="K19" s="179" t="str">
        <f t="shared" si="18"/>
        <v/>
      </c>
      <c r="L19" s="179"/>
      <c r="M19" s="180" t="str">
        <f t="shared" si="19"/>
        <v/>
      </c>
      <c r="N19" s="181" t="str">
        <f t="shared" si="20"/>
        <v/>
      </c>
      <c r="O19" s="195"/>
      <c r="P19" s="195"/>
      <c r="Q19" s="195"/>
      <c r="R19" s="195"/>
      <c r="S19" s="195"/>
      <c r="T19" s="195"/>
      <c r="U19" s="195"/>
      <c r="V19" s="195"/>
      <c r="W19" s="195"/>
      <c r="X19" s="195"/>
      <c r="Y19" s="195"/>
      <c r="Z19" s="195"/>
    </row>
    <row r="20" ht="14.2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ht="14.25" customHeight="1">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ht="14.25" customHeight="1">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ht="14.25" customHeight="1">
      <c r="A23" s="195"/>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ht="14.25" customHeight="1">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row>
    <row r="25" ht="14.25" customHeight="1">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ht="14.25" customHeight="1">
      <c r="A26" s="232" t="s">
        <v>249</v>
      </c>
      <c r="B26" s="233"/>
      <c r="C26" s="233" t="s">
        <v>250</v>
      </c>
      <c r="D26" s="233" t="s">
        <v>235</v>
      </c>
      <c r="E26" s="233"/>
      <c r="F26" s="233" t="s">
        <v>251</v>
      </c>
      <c r="G26" s="233" t="s">
        <v>235</v>
      </c>
      <c r="H26" s="233"/>
      <c r="I26" s="233"/>
      <c r="J26" s="233"/>
      <c r="K26" s="233"/>
      <c r="L26" s="234"/>
      <c r="M26" s="233" t="s">
        <v>252</v>
      </c>
      <c r="N26" s="235" t="s">
        <v>241</v>
      </c>
      <c r="O26" s="195"/>
      <c r="P26" s="195"/>
      <c r="Q26" s="195"/>
      <c r="R26" s="195"/>
      <c r="S26" s="195"/>
      <c r="T26" s="195"/>
      <c r="U26" s="195"/>
      <c r="V26" s="195"/>
      <c r="W26" s="195"/>
      <c r="X26" s="195"/>
      <c r="Y26" s="195"/>
      <c r="Z26" s="195"/>
    </row>
    <row r="27" ht="14.25" customHeight="1">
      <c r="A27" s="236" t="s">
        <v>170</v>
      </c>
      <c r="B27" s="216"/>
      <c r="C27" s="216"/>
      <c r="D27" s="216"/>
      <c r="E27" s="216"/>
      <c r="F27" s="216"/>
      <c r="G27" s="216"/>
      <c r="H27" s="216"/>
      <c r="I27" s="216"/>
      <c r="J27" s="216"/>
      <c r="K27" s="216"/>
      <c r="L27" s="216"/>
      <c r="M27" s="216"/>
      <c r="N27" s="217"/>
      <c r="O27" s="195"/>
      <c r="P27" s="195"/>
      <c r="Q27" s="195"/>
      <c r="R27" s="195"/>
      <c r="S27" s="195"/>
      <c r="T27" s="195"/>
      <c r="U27" s="195"/>
      <c r="V27" s="195"/>
      <c r="W27" s="195"/>
      <c r="X27" s="195"/>
      <c r="Y27" s="195"/>
      <c r="Z27" s="195"/>
    </row>
    <row r="28" ht="14.25" customHeight="1">
      <c r="A28" s="177" t="str">
        <f>IF('2. List of IROs'!D30="","",'2. List of IROs'!D30)</f>
        <v>Risk S1-1</v>
      </c>
      <c r="B28" s="197"/>
      <c r="C28" s="171"/>
      <c r="D28" s="171" t="str">
        <f>IFERROR(VLOOKUP(C28,'Assignment Table'!$A$15:$B$23,2,FALSE),"")</f>
        <v/>
      </c>
      <c r="E28" s="192"/>
      <c r="F28" s="171"/>
      <c r="G28" s="193" t="str">
        <f>IFERROR(VLOOKUP(F28,'Assignment Table'!$A$27:$B$35,2,FALSE),"")</f>
        <v/>
      </c>
      <c r="H28" s="192"/>
      <c r="I28" s="192"/>
      <c r="J28" s="194">
        <f t="shared" ref="J28:J29" si="21">IFERROR(D28*F28,"")</f>
        <v>0</v>
      </c>
      <c r="K28" s="192"/>
      <c r="L28" s="192"/>
      <c r="M28" s="171" t="str">
        <f t="shared" ref="M28:M33" si="22">IF(OR(D28="", G28=""), "", D28*G28)</f>
        <v/>
      </c>
      <c r="N28" s="173" t="str">
        <f t="shared" ref="N28:N33" si="23">IF(OR(D28="", G28=""), "", IF(D28*G28 &gt;=20, "yes", IF(D28*G28 &lt;20, "no", "")))</f>
        <v/>
      </c>
      <c r="O28" s="195"/>
      <c r="P28" s="195"/>
      <c r="Q28" s="195"/>
      <c r="R28" s="195"/>
      <c r="S28" s="195"/>
      <c r="T28" s="195"/>
      <c r="U28" s="195"/>
      <c r="V28" s="195"/>
      <c r="W28" s="195"/>
      <c r="X28" s="195"/>
      <c r="Y28" s="195"/>
      <c r="Z28" s="195"/>
    </row>
    <row r="29" ht="14.25" customHeight="1">
      <c r="A29" s="177" t="str">
        <f>IF('2. List of IROs'!D31="","",'2. List of IROs'!D31)</f>
        <v>Risk S1-2</v>
      </c>
      <c r="B29" s="197"/>
      <c r="C29" s="237"/>
      <c r="D29" s="171" t="str">
        <f>IFERROR(VLOOKUP(C29,'Assignment Table'!$A$15:$B$23,2,FALSE),"")</f>
        <v/>
      </c>
      <c r="E29" s="192"/>
      <c r="F29" s="171"/>
      <c r="G29" s="193" t="str">
        <f>IFERROR(VLOOKUP(F29,'Assignment Table'!$A$27:$B$35,2,FALSE),"")</f>
        <v/>
      </c>
      <c r="H29" s="192"/>
      <c r="I29" s="192"/>
      <c r="J29" s="194">
        <f t="shared" si="21"/>
        <v>0</v>
      </c>
      <c r="K29" s="192"/>
      <c r="L29" s="192"/>
      <c r="M29" s="171" t="str">
        <f t="shared" si="22"/>
        <v/>
      </c>
      <c r="N29" s="173" t="str">
        <f t="shared" si="23"/>
        <v/>
      </c>
      <c r="O29" s="195"/>
      <c r="P29" s="195"/>
      <c r="Q29" s="195"/>
      <c r="R29" s="195"/>
      <c r="S29" s="195"/>
      <c r="T29" s="195"/>
      <c r="U29" s="195"/>
      <c r="V29" s="195"/>
      <c r="W29" s="195"/>
      <c r="X29" s="195"/>
      <c r="Y29" s="195"/>
      <c r="Z29" s="195"/>
    </row>
    <row r="30" ht="14.25" customHeight="1">
      <c r="A30" s="177" t="str">
        <f>IF('2. List of IROs'!D32="","",'2. List of IROs'!D32)</f>
        <v>Risk S1-3</v>
      </c>
      <c r="B30" s="238"/>
      <c r="C30" s="195"/>
      <c r="D30" s="239" t="str">
        <f>IFERROR(VLOOKUP(C30,'Assignment Table'!$A$15:$B$23,2,FALSE),"")</f>
        <v/>
      </c>
      <c r="E30" s="240"/>
      <c r="F30" s="239"/>
      <c r="G30" s="241" t="str">
        <f>IFERROR(VLOOKUP(F30,'Assignment Table'!$A$27:$B$35,2,FALSE),"")</f>
        <v/>
      </c>
      <c r="H30" s="240"/>
      <c r="I30" s="240"/>
      <c r="J30" s="242"/>
      <c r="K30" s="240"/>
      <c r="L30" s="240"/>
      <c r="M30" s="239" t="str">
        <f t="shared" si="22"/>
        <v/>
      </c>
      <c r="N30" s="173" t="str">
        <f t="shared" si="23"/>
        <v/>
      </c>
      <c r="O30" s="195"/>
      <c r="P30" s="195"/>
      <c r="Q30" s="195"/>
      <c r="R30" s="195"/>
      <c r="S30" s="195"/>
      <c r="T30" s="195"/>
      <c r="U30" s="195"/>
      <c r="V30" s="195"/>
      <c r="W30" s="195"/>
      <c r="X30" s="195"/>
      <c r="Y30" s="195"/>
      <c r="Z30" s="195"/>
    </row>
    <row r="31" ht="14.25" customHeight="1">
      <c r="A31" s="177" t="str">
        <f>IF('2. List of IROs'!E30="","",'2. List of IROs'!E30)</f>
        <v>Opportunity S1-1</v>
      </c>
      <c r="B31" s="197"/>
      <c r="C31" s="171"/>
      <c r="D31" s="171" t="str">
        <f>IFERROR(VLOOKUP(C31,'Assignment Table'!$A$15:$B$23,2,FALSE),"")</f>
        <v/>
      </c>
      <c r="E31" s="192"/>
      <c r="F31" s="171"/>
      <c r="G31" s="193" t="str">
        <f>IFERROR(VLOOKUP(F31,'Assignment Table'!$A$27:$B$35,2,FALSE),"")</f>
        <v/>
      </c>
      <c r="H31" s="192"/>
      <c r="I31" s="192"/>
      <c r="J31" s="194">
        <f t="shared" ref="J31:J32" si="24">IFERROR(D31*F31,"")</f>
        <v>0</v>
      </c>
      <c r="K31" s="192"/>
      <c r="L31" s="192"/>
      <c r="M31" s="171" t="str">
        <f t="shared" si="22"/>
        <v/>
      </c>
      <c r="N31" s="173" t="str">
        <f t="shared" si="23"/>
        <v/>
      </c>
      <c r="O31" s="195"/>
      <c r="P31" s="195"/>
      <c r="Q31" s="195"/>
      <c r="R31" s="195"/>
      <c r="S31" s="195"/>
      <c r="T31" s="195"/>
      <c r="U31" s="195"/>
      <c r="V31" s="195"/>
      <c r="W31" s="195"/>
      <c r="X31" s="195"/>
      <c r="Y31" s="195"/>
      <c r="Z31" s="195"/>
    </row>
    <row r="32" ht="14.25" customHeight="1">
      <c r="A32" s="177" t="str">
        <f>IF('2. List of IROs'!E31="","",'2. List of IROs'!E31)</f>
        <v>Opportunity S1-2</v>
      </c>
      <c r="B32" s="197"/>
      <c r="C32" s="171"/>
      <c r="D32" s="171" t="str">
        <f>IFERROR(VLOOKUP(C32,'Assignment Table'!$A$15:$B$23,2,FALSE),"")</f>
        <v/>
      </c>
      <c r="E32" s="192"/>
      <c r="F32" s="171"/>
      <c r="G32" s="193" t="str">
        <f>IFERROR(VLOOKUP(F32,'Assignment Table'!$A$27:$B$35,2,FALSE),"")</f>
        <v/>
      </c>
      <c r="H32" s="192"/>
      <c r="I32" s="192"/>
      <c r="J32" s="194">
        <f t="shared" si="24"/>
        <v>0</v>
      </c>
      <c r="K32" s="192"/>
      <c r="L32" s="192"/>
      <c r="M32" s="171" t="str">
        <f t="shared" si="22"/>
        <v/>
      </c>
      <c r="N32" s="173" t="str">
        <f t="shared" si="23"/>
        <v/>
      </c>
      <c r="O32" s="195"/>
      <c r="P32" s="195"/>
      <c r="Q32" s="195"/>
      <c r="R32" s="195"/>
      <c r="S32" s="195"/>
      <c r="T32" s="195"/>
      <c r="U32" s="195"/>
      <c r="V32" s="195"/>
      <c r="W32" s="195"/>
      <c r="X32" s="195"/>
      <c r="Y32" s="195"/>
      <c r="Z32" s="195"/>
    </row>
    <row r="33" ht="14.25" customHeight="1">
      <c r="A33" s="177" t="str">
        <f>IF('2. List of IROs'!E32="","",'2. List of IROs'!E32)</f>
        <v>Opportunity S1-3</v>
      </c>
      <c r="B33" s="197"/>
      <c r="C33" s="171"/>
      <c r="D33" s="171" t="str">
        <f>IFERROR(VLOOKUP(C33,'Assignment Table'!$A$15:$B$23,2,FALSE),"")</f>
        <v/>
      </c>
      <c r="E33" s="192"/>
      <c r="F33" s="171"/>
      <c r="G33" s="193" t="str">
        <f>IFERROR(VLOOKUP(F33,'Assignment Table'!$A$27:$B$35,2,FALSE),"")</f>
        <v/>
      </c>
      <c r="H33" s="192"/>
      <c r="I33" s="192"/>
      <c r="J33" s="194"/>
      <c r="K33" s="192"/>
      <c r="L33" s="192"/>
      <c r="M33" s="171" t="str">
        <f t="shared" si="22"/>
        <v/>
      </c>
      <c r="N33" s="173" t="str">
        <f t="shared" si="23"/>
        <v/>
      </c>
      <c r="O33" s="195"/>
      <c r="P33" s="195"/>
      <c r="Q33" s="195"/>
      <c r="R33" s="195"/>
      <c r="S33" s="195"/>
      <c r="T33" s="195"/>
      <c r="U33" s="195"/>
      <c r="V33" s="195"/>
      <c r="W33" s="195"/>
      <c r="X33" s="195"/>
      <c r="Y33" s="195"/>
      <c r="Z33" s="195"/>
    </row>
    <row r="34" ht="14.25" customHeight="1">
      <c r="A34" s="243" t="s">
        <v>181</v>
      </c>
      <c r="B34" s="132"/>
      <c r="C34" s="132"/>
      <c r="D34" s="132"/>
      <c r="E34" s="132"/>
      <c r="F34" s="132"/>
      <c r="G34" s="132"/>
      <c r="H34" s="132"/>
      <c r="I34" s="132"/>
      <c r="J34" s="132"/>
      <c r="K34" s="132"/>
      <c r="L34" s="132"/>
      <c r="M34" s="132"/>
      <c r="N34" s="133"/>
      <c r="O34" s="195"/>
      <c r="P34" s="195"/>
      <c r="Q34" s="195"/>
      <c r="R34" s="195"/>
      <c r="S34" s="195"/>
      <c r="T34" s="195"/>
      <c r="U34" s="195"/>
      <c r="V34" s="195"/>
      <c r="W34" s="195"/>
      <c r="X34" s="195"/>
      <c r="Y34" s="195"/>
      <c r="Z34" s="195"/>
    </row>
    <row r="35" ht="14.25" customHeight="1">
      <c r="A35" s="177" t="str">
        <f>IF('2. List of IROs'!D34="","",'2. List of IROs'!D34)</f>
        <v>Risk S2-1</v>
      </c>
      <c r="B35" s="197"/>
      <c r="C35" s="171"/>
      <c r="D35" s="171" t="str">
        <f>IFERROR(VLOOKUP(C35,'Assignment Table'!$A$15:$B$23,2,FALSE),"")</f>
        <v/>
      </c>
      <c r="E35" s="192"/>
      <c r="F35" s="171"/>
      <c r="G35" s="193" t="str">
        <f>IFERROR(VLOOKUP(F35,'Assignment Table'!$A$27:$B$35,2,FALSE),"")</f>
        <v/>
      </c>
      <c r="H35" s="192"/>
      <c r="I35" s="192"/>
      <c r="J35" s="194">
        <f t="shared" ref="J35:J36" si="25">IFERROR(D35*F35,"")</f>
        <v>0</v>
      </c>
      <c r="K35" s="192"/>
      <c r="L35" s="192"/>
      <c r="M35" s="171" t="str">
        <f t="shared" ref="M35:M40" si="26">IF(OR(D35="", G35=""), "", D35*G35)</f>
        <v/>
      </c>
      <c r="N35" s="173" t="str">
        <f t="shared" ref="N35:N40" si="27">IF(OR(D35="", G35=""), "", IF(D35*G35 &gt;=20, "yes", IF(D35*G35 &lt;20, "no", "")))</f>
        <v/>
      </c>
      <c r="O35" s="195"/>
      <c r="P35" s="195"/>
      <c r="Q35" s="195"/>
      <c r="R35" s="195"/>
      <c r="S35" s="195"/>
      <c r="T35" s="195"/>
      <c r="U35" s="195"/>
      <c r="V35" s="195"/>
      <c r="W35" s="195"/>
      <c r="X35" s="195"/>
      <c r="Y35" s="195"/>
      <c r="Z35" s="195"/>
    </row>
    <row r="36" ht="14.25" customHeight="1">
      <c r="A36" s="177" t="str">
        <f>IF('2. List of IROs'!D35="","",'2. List of IROs'!D35)</f>
        <v>Risk S2-2</v>
      </c>
      <c r="B36" s="197"/>
      <c r="C36" s="171"/>
      <c r="D36" s="171" t="str">
        <f>IFERROR(VLOOKUP(C36,'Assignment Table'!$A$15:$B$23,2,FALSE),"")</f>
        <v/>
      </c>
      <c r="E36" s="192"/>
      <c r="F36" s="171"/>
      <c r="G36" s="193" t="str">
        <f>IFERROR(VLOOKUP(F36,'Assignment Table'!$A$27:$B$35,2,FALSE),"")</f>
        <v/>
      </c>
      <c r="H36" s="192"/>
      <c r="I36" s="192"/>
      <c r="J36" s="194">
        <f t="shared" si="25"/>
        <v>0</v>
      </c>
      <c r="K36" s="192"/>
      <c r="L36" s="192"/>
      <c r="M36" s="171" t="str">
        <f t="shared" si="26"/>
        <v/>
      </c>
      <c r="N36" s="173" t="str">
        <f t="shared" si="27"/>
        <v/>
      </c>
      <c r="O36" s="195"/>
      <c r="P36" s="195"/>
      <c r="Q36" s="195"/>
      <c r="R36" s="195"/>
      <c r="S36" s="195"/>
      <c r="T36" s="195"/>
      <c r="U36" s="195"/>
      <c r="V36" s="195"/>
      <c r="W36" s="195"/>
      <c r="X36" s="195"/>
      <c r="Y36" s="195"/>
      <c r="Z36" s="195"/>
    </row>
    <row r="37" ht="14.25" customHeight="1">
      <c r="A37" s="177" t="str">
        <f>IF('2. List of IROs'!D36="","",'2. List of IROs'!D36)</f>
        <v>Risk S2-3</v>
      </c>
      <c r="B37" s="197"/>
      <c r="C37" s="171"/>
      <c r="D37" s="171" t="str">
        <f>IFERROR(VLOOKUP(C37,'Assignment Table'!$A$15:$B$23,2,FALSE),"")</f>
        <v/>
      </c>
      <c r="E37" s="192"/>
      <c r="F37" s="171"/>
      <c r="G37" s="193" t="str">
        <f>IFERROR(VLOOKUP(F37,'Assignment Table'!$A$27:$B$35,2,FALSE),"")</f>
        <v/>
      </c>
      <c r="H37" s="192"/>
      <c r="I37" s="192"/>
      <c r="J37" s="194"/>
      <c r="K37" s="192"/>
      <c r="L37" s="192"/>
      <c r="M37" s="171" t="str">
        <f t="shared" si="26"/>
        <v/>
      </c>
      <c r="N37" s="173" t="str">
        <f t="shared" si="27"/>
        <v/>
      </c>
      <c r="O37" s="195"/>
      <c r="P37" s="195"/>
      <c r="Q37" s="195"/>
      <c r="R37" s="195"/>
      <c r="S37" s="195"/>
      <c r="T37" s="195"/>
      <c r="U37" s="195"/>
      <c r="V37" s="195"/>
      <c r="W37" s="195"/>
      <c r="X37" s="195"/>
      <c r="Y37" s="195"/>
      <c r="Z37" s="195"/>
    </row>
    <row r="38" ht="14.25" customHeight="1">
      <c r="A38" s="177" t="str">
        <f>IF('2. List of IROs'!E34="","",'2. List of IROs'!E34)</f>
        <v>Opportunity S2-1</v>
      </c>
      <c r="B38" s="197"/>
      <c r="C38" s="171"/>
      <c r="D38" s="171" t="str">
        <f>IFERROR(VLOOKUP(C38,'Assignment Table'!$A$15:$B$23,2,FALSE),"")</f>
        <v/>
      </c>
      <c r="E38" s="192"/>
      <c r="F38" s="171"/>
      <c r="G38" s="193" t="str">
        <f>IFERROR(VLOOKUP(F38,'Assignment Table'!$A$27:$B$35,2,FALSE),"")</f>
        <v/>
      </c>
      <c r="H38" s="192"/>
      <c r="I38" s="192"/>
      <c r="J38" s="194">
        <f t="shared" ref="J38:J39" si="28">IFERROR(D38*F38,"")</f>
        <v>0</v>
      </c>
      <c r="K38" s="192"/>
      <c r="L38" s="192"/>
      <c r="M38" s="171" t="str">
        <f t="shared" si="26"/>
        <v/>
      </c>
      <c r="N38" s="173" t="str">
        <f t="shared" si="27"/>
        <v/>
      </c>
      <c r="O38" s="195"/>
      <c r="P38" s="195"/>
      <c r="Q38" s="195"/>
      <c r="R38" s="195"/>
      <c r="S38" s="195"/>
      <c r="T38" s="195"/>
      <c r="U38" s="195"/>
      <c r="V38" s="195"/>
      <c r="W38" s="195"/>
      <c r="X38" s="195"/>
      <c r="Y38" s="195"/>
      <c r="Z38" s="195"/>
    </row>
    <row r="39" ht="14.25" customHeight="1">
      <c r="A39" s="177" t="str">
        <f>IF('2. List of IROs'!E39="","",'2. List of IROs'!E39)</f>
        <v>Opportunity S3-2</v>
      </c>
      <c r="B39" s="197"/>
      <c r="C39" s="171"/>
      <c r="D39" s="171" t="str">
        <f>IFERROR(VLOOKUP(C39,'Assignment Table'!$A$15:$B$23,2,FALSE),"")</f>
        <v/>
      </c>
      <c r="E39" s="192"/>
      <c r="F39" s="171"/>
      <c r="G39" s="193" t="str">
        <f>IFERROR(VLOOKUP(F39,'Assignment Table'!$A$27:$B$35,2,FALSE),"")</f>
        <v/>
      </c>
      <c r="H39" s="192"/>
      <c r="I39" s="192"/>
      <c r="J39" s="194">
        <f t="shared" si="28"/>
        <v>0</v>
      </c>
      <c r="K39" s="192"/>
      <c r="L39" s="192"/>
      <c r="M39" s="171" t="str">
        <f t="shared" si="26"/>
        <v/>
      </c>
      <c r="N39" s="173" t="str">
        <f t="shared" si="27"/>
        <v/>
      </c>
      <c r="O39" s="195"/>
      <c r="P39" s="195"/>
      <c r="Q39" s="195"/>
      <c r="R39" s="195"/>
      <c r="S39" s="195"/>
      <c r="T39" s="195"/>
      <c r="U39" s="195"/>
      <c r="V39" s="195"/>
      <c r="W39" s="195"/>
      <c r="X39" s="195"/>
      <c r="Y39" s="195"/>
      <c r="Z39" s="195"/>
    </row>
    <row r="40" ht="14.25" customHeight="1">
      <c r="A40" s="177" t="str">
        <f>IF('2. List of IROs'!E40="","",'2. List of IROs'!E40)</f>
        <v>Opportunity S3-3</v>
      </c>
      <c r="B40" s="197"/>
      <c r="C40" s="171"/>
      <c r="D40" s="171" t="str">
        <f>IFERROR(VLOOKUP(C40,'Assignment Table'!$A$15:$B$23,2,FALSE),"")</f>
        <v/>
      </c>
      <c r="E40" s="192"/>
      <c r="F40" s="171"/>
      <c r="G40" s="193" t="str">
        <f>IFERROR(VLOOKUP(F40,'Assignment Table'!$A$27:$B$35,2,FALSE),"")</f>
        <v/>
      </c>
      <c r="H40" s="192"/>
      <c r="I40" s="192"/>
      <c r="J40" s="194"/>
      <c r="K40" s="192"/>
      <c r="L40" s="192"/>
      <c r="M40" s="171" t="str">
        <f t="shared" si="26"/>
        <v/>
      </c>
      <c r="N40" s="173" t="str">
        <f t="shared" si="27"/>
        <v/>
      </c>
      <c r="O40" s="195"/>
      <c r="P40" s="195"/>
      <c r="Q40" s="195"/>
      <c r="R40" s="195"/>
      <c r="S40" s="195"/>
      <c r="T40" s="195"/>
      <c r="U40" s="195"/>
      <c r="V40" s="195"/>
      <c r="W40" s="195"/>
      <c r="X40" s="195"/>
      <c r="Y40" s="195"/>
      <c r="Z40" s="195"/>
    </row>
    <row r="41" ht="14.25" customHeight="1">
      <c r="A41" s="243" t="s">
        <v>191</v>
      </c>
      <c r="B41" s="132"/>
      <c r="C41" s="132"/>
      <c r="D41" s="132"/>
      <c r="E41" s="132"/>
      <c r="F41" s="132"/>
      <c r="G41" s="132"/>
      <c r="H41" s="132"/>
      <c r="I41" s="132"/>
      <c r="J41" s="132"/>
      <c r="K41" s="132"/>
      <c r="L41" s="132"/>
      <c r="M41" s="132"/>
      <c r="N41" s="133"/>
      <c r="O41" s="195"/>
      <c r="P41" s="195"/>
      <c r="Q41" s="195"/>
      <c r="R41" s="195"/>
      <c r="S41" s="195"/>
      <c r="T41" s="195"/>
      <c r="U41" s="195"/>
      <c r="V41" s="195"/>
      <c r="W41" s="195"/>
      <c r="X41" s="195"/>
      <c r="Y41" s="195"/>
      <c r="Z41" s="195"/>
    </row>
    <row r="42" ht="14.25" customHeight="1">
      <c r="A42" s="177" t="str">
        <f>IF('2. List of IROs'!D38="","",'2. List of IROs'!D38)</f>
        <v>Risk S3-1</v>
      </c>
      <c r="B42" s="197"/>
      <c r="C42" s="171"/>
      <c r="D42" s="171" t="str">
        <f>IFERROR(VLOOKUP(C42,'Assignment Table'!$A$15:$B$23,2,FALSE),"")</f>
        <v/>
      </c>
      <c r="E42" s="192"/>
      <c r="F42" s="171"/>
      <c r="G42" s="193" t="str">
        <f>IFERROR(VLOOKUP(F42,'Assignment Table'!$A$27:$B$35,2,FALSE),"")</f>
        <v/>
      </c>
      <c r="H42" s="192"/>
      <c r="I42" s="192"/>
      <c r="J42" s="194">
        <f t="shared" ref="J42:J43" si="29">IFERROR(D42*F42,"")</f>
        <v>0</v>
      </c>
      <c r="K42" s="192"/>
      <c r="L42" s="192"/>
      <c r="M42" s="171" t="str">
        <f t="shared" ref="M42:M47" si="30">IF(OR(D42="", G42=""), "", D42*G42)</f>
        <v/>
      </c>
      <c r="N42" s="173" t="str">
        <f t="shared" ref="N42:N47" si="31">IF(OR(D42="", G42=""), "", IF(D42*G42 &gt;=20, "yes", IF(D42*G42 &lt;20, "no", "")))</f>
        <v/>
      </c>
      <c r="O42" s="195"/>
      <c r="P42" s="195"/>
      <c r="Q42" s="195"/>
      <c r="R42" s="195"/>
      <c r="S42" s="195"/>
      <c r="T42" s="195"/>
      <c r="U42" s="195"/>
      <c r="V42" s="195"/>
      <c r="W42" s="195"/>
      <c r="X42" s="195"/>
      <c r="Y42" s="195"/>
      <c r="Z42" s="195"/>
    </row>
    <row r="43" ht="14.25" customHeight="1">
      <c r="A43" s="177" t="str">
        <f>IF('2. List of IROs'!D39="","",'2. List of IROs'!D39)</f>
        <v>Risk S3-2</v>
      </c>
      <c r="B43" s="197"/>
      <c r="C43" s="171"/>
      <c r="D43" s="171" t="str">
        <f>IFERROR(VLOOKUP(C43,'Assignment Table'!$A$15:$B$23,2,FALSE),"")</f>
        <v/>
      </c>
      <c r="E43" s="192"/>
      <c r="F43" s="171"/>
      <c r="G43" s="193" t="str">
        <f>IFERROR(VLOOKUP(F43,'Assignment Table'!$A$27:$B$35,2,FALSE),"")</f>
        <v/>
      </c>
      <c r="H43" s="192"/>
      <c r="I43" s="192"/>
      <c r="J43" s="194">
        <f t="shared" si="29"/>
        <v>0</v>
      </c>
      <c r="K43" s="192"/>
      <c r="L43" s="192"/>
      <c r="M43" s="171" t="str">
        <f t="shared" si="30"/>
        <v/>
      </c>
      <c r="N43" s="173" t="str">
        <f t="shared" si="31"/>
        <v/>
      </c>
      <c r="O43" s="195"/>
      <c r="P43" s="195"/>
      <c r="Q43" s="195"/>
      <c r="R43" s="195"/>
      <c r="S43" s="195"/>
      <c r="T43" s="195"/>
      <c r="U43" s="195"/>
      <c r="V43" s="195"/>
      <c r="W43" s="195"/>
      <c r="X43" s="195"/>
      <c r="Y43" s="195"/>
      <c r="Z43" s="195"/>
    </row>
    <row r="44" ht="14.25" customHeight="1">
      <c r="A44" s="177" t="str">
        <f>IF('2. List of IROs'!D40="","",'2. List of IROs'!D40)</f>
        <v>Risk S3-3</v>
      </c>
      <c r="B44" s="197"/>
      <c r="C44" s="171"/>
      <c r="D44" s="171" t="str">
        <f>IFERROR(VLOOKUP(C44,'Assignment Table'!$A$15:$B$23,2,FALSE),"")</f>
        <v/>
      </c>
      <c r="E44" s="192"/>
      <c r="F44" s="171"/>
      <c r="G44" s="193" t="str">
        <f>IFERROR(VLOOKUP(F44,'Assignment Table'!$A$27:$B$35,2,FALSE),"")</f>
        <v/>
      </c>
      <c r="H44" s="192"/>
      <c r="I44" s="192"/>
      <c r="J44" s="194"/>
      <c r="K44" s="192"/>
      <c r="L44" s="192"/>
      <c r="M44" s="171" t="str">
        <f t="shared" si="30"/>
        <v/>
      </c>
      <c r="N44" s="173" t="str">
        <f t="shared" si="31"/>
        <v/>
      </c>
      <c r="O44" s="195"/>
      <c r="P44" s="195"/>
      <c r="Q44" s="195"/>
      <c r="R44" s="195"/>
      <c r="S44" s="195"/>
      <c r="T44" s="195"/>
      <c r="U44" s="195"/>
      <c r="V44" s="195"/>
      <c r="W44" s="195"/>
      <c r="X44" s="195"/>
      <c r="Y44" s="195"/>
      <c r="Z44" s="195"/>
    </row>
    <row r="45" ht="14.25" customHeight="1">
      <c r="A45" s="177" t="str">
        <f>IF('2. List of IROs'!E38="","",'2. List of IROs'!E38)</f>
        <v>Opportunity S3-1</v>
      </c>
      <c r="B45" s="197"/>
      <c r="C45" s="171"/>
      <c r="D45" s="171" t="str">
        <f>IFERROR(VLOOKUP(C45,'Assignment Table'!$A$15:$B$23,2,FALSE),"")</f>
        <v/>
      </c>
      <c r="E45" s="192"/>
      <c r="F45" s="171"/>
      <c r="G45" s="193" t="str">
        <f>IFERROR(VLOOKUP(F45,'Assignment Table'!$A$27:$B$35,2,FALSE),"")</f>
        <v/>
      </c>
      <c r="H45" s="192"/>
      <c r="I45" s="192"/>
      <c r="J45" s="194">
        <f t="shared" ref="J45:J46" si="32">IFERROR(D45*F45,"")</f>
        <v>0</v>
      </c>
      <c r="K45" s="192"/>
      <c r="L45" s="192"/>
      <c r="M45" s="171" t="str">
        <f t="shared" si="30"/>
        <v/>
      </c>
      <c r="N45" s="173" t="str">
        <f t="shared" si="31"/>
        <v/>
      </c>
      <c r="O45" s="195"/>
      <c r="P45" s="195"/>
      <c r="Q45" s="195"/>
      <c r="R45" s="195"/>
      <c r="S45" s="195"/>
      <c r="T45" s="195"/>
      <c r="U45" s="195"/>
      <c r="V45" s="195"/>
      <c r="W45" s="195"/>
      <c r="X45" s="195"/>
      <c r="Y45" s="195"/>
      <c r="Z45" s="195"/>
    </row>
    <row r="46" ht="14.25" customHeight="1">
      <c r="A46" s="177" t="str">
        <f>IF('2. List of IROs'!E39="","",'2. List of IROs'!E39)</f>
        <v>Opportunity S3-2</v>
      </c>
      <c r="B46" s="197"/>
      <c r="C46" s="171"/>
      <c r="D46" s="171" t="str">
        <f>IFERROR(VLOOKUP(C46,'Assignment Table'!$A$15:$B$23,2,FALSE),"")</f>
        <v/>
      </c>
      <c r="E46" s="192"/>
      <c r="F46" s="171"/>
      <c r="G46" s="193" t="str">
        <f>IFERROR(VLOOKUP(F46,'Assignment Table'!$A$27:$B$35,2,FALSE),"")</f>
        <v/>
      </c>
      <c r="H46" s="192"/>
      <c r="I46" s="192"/>
      <c r="J46" s="194">
        <f t="shared" si="32"/>
        <v>0</v>
      </c>
      <c r="K46" s="192"/>
      <c r="L46" s="192"/>
      <c r="M46" s="171" t="str">
        <f t="shared" si="30"/>
        <v/>
      </c>
      <c r="N46" s="173" t="str">
        <f t="shared" si="31"/>
        <v/>
      </c>
      <c r="O46" s="195"/>
      <c r="P46" s="195"/>
      <c r="Q46" s="195"/>
      <c r="R46" s="195"/>
      <c r="S46" s="195"/>
      <c r="T46" s="195"/>
      <c r="U46" s="195"/>
      <c r="V46" s="195"/>
      <c r="W46" s="195"/>
      <c r="X46" s="195"/>
      <c r="Y46" s="195"/>
      <c r="Z46" s="195"/>
    </row>
    <row r="47" ht="14.25" customHeight="1">
      <c r="A47" s="177" t="str">
        <f>IF('2. List of IROs'!E40="","",'2. List of IROs'!E40)</f>
        <v>Opportunity S3-3</v>
      </c>
      <c r="B47" s="197"/>
      <c r="C47" s="171"/>
      <c r="D47" s="171" t="str">
        <f>IFERROR(VLOOKUP(C47,'Assignment Table'!$A$15:$B$23,2,FALSE),"")</f>
        <v/>
      </c>
      <c r="E47" s="192"/>
      <c r="F47" s="171"/>
      <c r="G47" s="193" t="str">
        <f>IFERROR(VLOOKUP(F47,'Assignment Table'!$A$27:$B$35,2,FALSE),"")</f>
        <v/>
      </c>
      <c r="H47" s="192"/>
      <c r="I47" s="192"/>
      <c r="J47" s="194"/>
      <c r="K47" s="192"/>
      <c r="L47" s="192"/>
      <c r="M47" s="171" t="str">
        <f t="shared" si="30"/>
        <v/>
      </c>
      <c r="N47" s="173" t="str">
        <f t="shared" si="31"/>
        <v/>
      </c>
      <c r="O47" s="195"/>
      <c r="P47" s="195"/>
      <c r="Q47" s="195"/>
      <c r="R47" s="195"/>
      <c r="S47" s="195"/>
      <c r="T47" s="195"/>
      <c r="U47" s="195"/>
      <c r="V47" s="195"/>
      <c r="W47" s="195"/>
      <c r="X47" s="195"/>
      <c r="Y47" s="195"/>
      <c r="Z47" s="195"/>
    </row>
    <row r="48" ht="14.25" customHeight="1">
      <c r="A48" s="243" t="s">
        <v>201</v>
      </c>
      <c r="B48" s="132"/>
      <c r="C48" s="132"/>
      <c r="D48" s="132"/>
      <c r="E48" s="132"/>
      <c r="F48" s="132"/>
      <c r="G48" s="132"/>
      <c r="H48" s="132"/>
      <c r="I48" s="132"/>
      <c r="J48" s="132"/>
      <c r="K48" s="132"/>
      <c r="L48" s="132"/>
      <c r="M48" s="132"/>
      <c r="N48" s="133"/>
      <c r="O48" s="195"/>
      <c r="P48" s="195"/>
      <c r="Q48" s="195"/>
      <c r="R48" s="195"/>
      <c r="S48" s="195"/>
      <c r="T48" s="195"/>
      <c r="U48" s="195"/>
      <c r="V48" s="195"/>
      <c r="W48" s="195"/>
      <c r="X48" s="195"/>
      <c r="Y48" s="195"/>
      <c r="Z48" s="195"/>
    </row>
    <row r="49" ht="14.25" customHeight="1">
      <c r="A49" s="177" t="str">
        <f>IF('2. List of IROs'!D42="","",'2. List of IROs'!D42)</f>
        <v>Risk S4-1</v>
      </c>
      <c r="B49" s="197"/>
      <c r="C49" s="171"/>
      <c r="D49" s="171" t="str">
        <f>IFERROR(VLOOKUP(C49,'Assignment Table'!$A$15:$B$23,2,FALSE),"")</f>
        <v/>
      </c>
      <c r="E49" s="192"/>
      <c r="F49" s="171"/>
      <c r="G49" s="193" t="str">
        <f>IFERROR(VLOOKUP(F49,'Assignment Table'!$A$27:$B$35,2,FALSE),"")</f>
        <v/>
      </c>
      <c r="H49" s="192"/>
      <c r="I49" s="192"/>
      <c r="J49" s="194">
        <f t="shared" ref="J49:J50" si="33">IFERROR(D49*F49,"")</f>
        <v>0</v>
      </c>
      <c r="K49" s="192"/>
      <c r="L49" s="192"/>
      <c r="M49" s="171" t="str">
        <f t="shared" ref="M49:M54" si="34">IF(OR(D49="", G49=""), "", D49*G49)</f>
        <v/>
      </c>
      <c r="N49" s="173" t="str">
        <f t="shared" ref="N49:N54" si="35">IF(OR(D49="", G49=""), "", IF(D49*G49 &gt;=20, "yes", IF(D49*G49 &lt;20, "no", "")))</f>
        <v/>
      </c>
      <c r="O49" s="195"/>
      <c r="P49" s="195"/>
      <c r="Q49" s="195"/>
      <c r="R49" s="195"/>
      <c r="S49" s="195"/>
      <c r="T49" s="195"/>
      <c r="U49" s="195"/>
      <c r="V49" s="195"/>
      <c r="W49" s="195"/>
      <c r="X49" s="195"/>
      <c r="Y49" s="195"/>
      <c r="Z49" s="195"/>
    </row>
    <row r="50" ht="14.25" customHeight="1">
      <c r="A50" s="177" t="str">
        <f>IF('2. List of IROs'!D43="","",'2. List of IROs'!D43)</f>
        <v>Risk S4-2</v>
      </c>
      <c r="B50" s="197"/>
      <c r="C50" s="171"/>
      <c r="D50" s="171" t="str">
        <f>IFERROR(VLOOKUP(C50,'Assignment Table'!$A$15:$B$23,2,FALSE),"")</f>
        <v/>
      </c>
      <c r="E50" s="192"/>
      <c r="F50" s="171"/>
      <c r="G50" s="193" t="str">
        <f>IFERROR(VLOOKUP(F50,'Assignment Table'!$A$27:$B$35,2,FALSE),"")</f>
        <v/>
      </c>
      <c r="H50" s="192"/>
      <c r="I50" s="192"/>
      <c r="J50" s="194">
        <f t="shared" si="33"/>
        <v>0</v>
      </c>
      <c r="K50" s="192"/>
      <c r="L50" s="192"/>
      <c r="M50" s="171" t="str">
        <f t="shared" si="34"/>
        <v/>
      </c>
      <c r="N50" s="173" t="str">
        <f t="shared" si="35"/>
        <v/>
      </c>
      <c r="O50" s="195"/>
      <c r="P50" s="195"/>
      <c r="Q50" s="195"/>
      <c r="R50" s="195"/>
      <c r="S50" s="195"/>
      <c r="T50" s="195"/>
      <c r="U50" s="195"/>
      <c r="V50" s="195"/>
      <c r="W50" s="195"/>
      <c r="X50" s="195"/>
      <c r="Y50" s="195"/>
      <c r="Z50" s="195"/>
    </row>
    <row r="51" ht="14.25" customHeight="1">
      <c r="A51" s="177" t="str">
        <f>IF('2. List of IROs'!D44="","",'2. List of IROs'!D44)</f>
        <v>Risk S4-3</v>
      </c>
      <c r="B51" s="197"/>
      <c r="C51" s="171"/>
      <c r="D51" s="171" t="str">
        <f>IFERROR(VLOOKUP(C51,'Assignment Table'!$A$15:$B$23,2,FALSE),"")</f>
        <v/>
      </c>
      <c r="E51" s="192"/>
      <c r="F51" s="171"/>
      <c r="G51" s="193" t="str">
        <f>IFERROR(VLOOKUP(F51,'Assignment Table'!$A$27:$B$35,2,FALSE),"")</f>
        <v/>
      </c>
      <c r="H51" s="192"/>
      <c r="I51" s="192"/>
      <c r="J51" s="194"/>
      <c r="K51" s="192"/>
      <c r="L51" s="192"/>
      <c r="M51" s="171" t="str">
        <f t="shared" si="34"/>
        <v/>
      </c>
      <c r="N51" s="173" t="str">
        <f t="shared" si="35"/>
        <v/>
      </c>
      <c r="O51" s="195"/>
      <c r="P51" s="195"/>
      <c r="Q51" s="195"/>
      <c r="R51" s="195"/>
      <c r="S51" s="195"/>
      <c r="T51" s="195"/>
      <c r="U51" s="195"/>
      <c r="V51" s="195"/>
      <c r="W51" s="195"/>
      <c r="X51" s="195"/>
      <c r="Y51" s="195"/>
      <c r="Z51" s="195"/>
    </row>
    <row r="52" ht="14.25" customHeight="1">
      <c r="A52" s="177" t="str">
        <f>IF('2. List of IROs'!E42="","",'2. List of IROs'!E42)</f>
        <v>Opportunity S4-1</v>
      </c>
      <c r="B52" s="197"/>
      <c r="C52" s="171"/>
      <c r="D52" s="171" t="str">
        <f>IFERROR(VLOOKUP(C52,'Assignment Table'!$A$15:$B$23,2,FALSE),"")</f>
        <v/>
      </c>
      <c r="E52" s="192"/>
      <c r="F52" s="171"/>
      <c r="G52" s="193" t="str">
        <f>IFERROR(VLOOKUP(F52,'Assignment Table'!$A$27:$B$35,2,FALSE),"")</f>
        <v/>
      </c>
      <c r="H52" s="192"/>
      <c r="I52" s="192"/>
      <c r="J52" s="194">
        <f t="shared" ref="J52:J53" si="36">IFERROR(D52*F52,"")</f>
        <v>0</v>
      </c>
      <c r="K52" s="192"/>
      <c r="L52" s="192"/>
      <c r="M52" s="171" t="str">
        <f t="shared" si="34"/>
        <v/>
      </c>
      <c r="N52" s="173" t="str">
        <f t="shared" si="35"/>
        <v/>
      </c>
      <c r="O52" s="195"/>
      <c r="P52" s="195"/>
      <c r="Q52" s="195"/>
      <c r="R52" s="195"/>
      <c r="S52" s="195"/>
      <c r="T52" s="195"/>
      <c r="U52" s="195"/>
      <c r="V52" s="195"/>
      <c r="W52" s="195"/>
      <c r="X52" s="195"/>
      <c r="Y52" s="195"/>
      <c r="Z52" s="195"/>
    </row>
    <row r="53" ht="14.25" customHeight="1">
      <c r="A53" s="218" t="str">
        <f>IF('2. List of IROs'!E43="","",'2. List of IROs'!E43)</f>
        <v>Opportunity S4-2</v>
      </c>
      <c r="B53" s="244"/>
      <c r="C53" s="220"/>
      <c r="D53" s="220" t="str">
        <f>IFERROR(VLOOKUP(C53,'Assignment Table'!$A$15:$B$23,2,FALSE),"")</f>
        <v/>
      </c>
      <c r="E53" s="219"/>
      <c r="F53" s="220"/>
      <c r="G53" s="221" t="str">
        <f>IFERROR(VLOOKUP(F53,'Assignment Table'!$A$27:$B$35,2,FALSE),"")</f>
        <v/>
      </c>
      <c r="H53" s="219"/>
      <c r="I53" s="219"/>
      <c r="J53" s="222">
        <f t="shared" si="36"/>
        <v>0</v>
      </c>
      <c r="K53" s="219"/>
      <c r="L53" s="219"/>
      <c r="M53" s="220" t="str">
        <f t="shared" si="34"/>
        <v/>
      </c>
      <c r="N53" s="173" t="str">
        <f t="shared" si="35"/>
        <v/>
      </c>
      <c r="O53" s="195"/>
      <c r="P53" s="195"/>
      <c r="Q53" s="195"/>
      <c r="R53" s="195"/>
      <c r="S53" s="195"/>
      <c r="T53" s="195"/>
      <c r="U53" s="195"/>
      <c r="V53" s="195"/>
      <c r="W53" s="195"/>
      <c r="X53" s="195"/>
      <c r="Y53" s="195"/>
      <c r="Z53" s="195"/>
    </row>
    <row r="54" ht="14.25" customHeight="1">
      <c r="A54" s="178" t="str">
        <f>IF('2. List of IROs'!E44="","",'2. List of IROs'!E44)</f>
        <v>Opportunity S4-3 </v>
      </c>
      <c r="B54" s="245"/>
      <c r="C54" s="179"/>
      <c r="D54" s="179" t="str">
        <f>IFERROR(VLOOKUP(C54,'Assignment Table'!$A$15:$B$23,2,FALSE),"")</f>
        <v/>
      </c>
      <c r="E54" s="223"/>
      <c r="F54" s="179"/>
      <c r="G54" s="224" t="str">
        <f>IFERROR(VLOOKUP(F54,'Assignment Table'!$A$27:$B$35,2,FALSE),"")</f>
        <v/>
      </c>
      <c r="H54" s="223"/>
      <c r="I54" s="223"/>
      <c r="J54" s="225"/>
      <c r="K54" s="223"/>
      <c r="L54" s="223"/>
      <c r="M54" s="179" t="str">
        <f t="shared" si="34"/>
        <v/>
      </c>
      <c r="N54" s="181" t="str">
        <f t="shared" si="35"/>
        <v/>
      </c>
      <c r="O54" s="195"/>
      <c r="P54" s="195"/>
      <c r="Q54" s="195"/>
      <c r="R54" s="195"/>
      <c r="S54" s="195"/>
      <c r="T54" s="195"/>
      <c r="U54" s="195"/>
      <c r="V54" s="195"/>
      <c r="W54" s="195"/>
      <c r="X54" s="195"/>
      <c r="Y54" s="195"/>
      <c r="Z54" s="195"/>
    </row>
    <row r="55" ht="14.25" customHeight="1">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row>
    <row r="56" ht="14.25" customHeight="1">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row>
    <row r="57" ht="14.25" customHeight="1">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ht="14.25" customHeight="1">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59" ht="14.25" customHeight="1">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ht="14.2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row>
    <row r="61" ht="14.25" customHeight="1">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row>
    <row r="62" ht="14.25" customHeight="1">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row>
    <row r="63" ht="14.25" customHeight="1">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row>
    <row r="64" ht="14.25" customHeight="1">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row>
    <row r="65" ht="14.25" customHeight="1">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row>
    <row r="66" ht="14.25" customHeight="1">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row>
    <row r="67" ht="14.25" customHeight="1">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row>
    <row r="68" ht="14.25" customHeight="1">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ht="14.25" customHeight="1">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0" ht="14.2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row>
    <row r="71" ht="14.25" customHeight="1">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row>
    <row r="72" ht="14.25" customHeight="1">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row>
    <row r="73" ht="14.25" customHeight="1">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row>
    <row r="74" ht="14.2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row>
    <row r="75" ht="14.25" customHeight="1">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row>
    <row r="76" ht="14.25" customHeight="1">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row>
    <row r="77" ht="14.25" customHeight="1">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row>
    <row r="78" ht="14.25" customHeight="1">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row>
    <row r="79" ht="14.25" customHeight="1">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row>
    <row r="80" ht="14.25" customHeight="1">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row>
    <row r="81" ht="14.25" customHeight="1">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row>
    <row r="82" ht="14.25" customHeight="1">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row>
    <row r="83" ht="14.25" customHeight="1">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row>
    <row r="84" ht="14.25" customHeight="1">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row>
    <row r="85" ht="14.25" customHeight="1">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row>
    <row r="86" ht="14.25" customHeight="1">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row>
    <row r="87" ht="14.2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row>
    <row r="88" ht="14.25" customHeight="1">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row>
    <row r="89" ht="14.25" customHeight="1">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row>
    <row r="90" ht="14.25" customHeight="1">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row>
    <row r="91" ht="14.25" customHeight="1">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row>
    <row r="92" ht="14.25" customHeight="1">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row>
    <row r="93" ht="14.25" customHeight="1">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row>
    <row r="94" ht="14.25" customHeight="1">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row>
    <row r="95" ht="14.25" customHeight="1">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row>
    <row r="96" ht="14.25" customHeight="1">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row>
    <row r="97" ht="14.25" customHeight="1">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row>
    <row r="98" ht="14.25" customHeight="1">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row>
    <row r="99" ht="14.25" customHeight="1">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row>
    <row r="100" ht="14.25" customHeight="1">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row>
    <row r="101" ht="14.25" customHeight="1">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row>
    <row r="102" ht="14.25" customHeight="1">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ht="14.25" customHeight="1">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ht="14.25" customHeight="1">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ht="14.25" customHeight="1">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row>
    <row r="106" ht="14.25" customHeight="1">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row>
    <row r="107" ht="14.25" customHeight="1">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row>
    <row r="108" ht="14.25" customHeight="1">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row>
    <row r="109" ht="14.25" customHeight="1">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row>
    <row r="110" ht="14.25" customHeight="1">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row>
    <row r="111" ht="14.25" customHeight="1">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row>
    <row r="112" ht="14.25" customHeight="1">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row>
    <row r="113" ht="14.25" customHeight="1">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row>
    <row r="114" ht="14.25" customHeight="1">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row>
    <row r="115" ht="14.25" customHeight="1">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row>
    <row r="116" ht="14.25" customHeight="1">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row>
    <row r="117" ht="14.25" customHeight="1">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row>
    <row r="118" ht="14.25" customHeight="1">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row>
    <row r="119" ht="14.25" customHeight="1">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ht="14.25" customHeight="1">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ht="14.25" customHeight="1">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ht="14.25" customHeight="1">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ht="14.25" customHeight="1">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ht="14.25" customHeight="1">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ht="14.25" customHeight="1">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ht="14.25" customHeight="1">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ht="14.25" customHeight="1">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ht="14.25" customHeight="1">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ht="14.25" customHeight="1">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ht="14.25" customHeight="1">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ht="14.25" customHeight="1">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ht="14.25" customHeight="1">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ht="14.25" customHeight="1">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ht="14.25" customHeight="1">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ht="14.25" customHeight="1">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ht="14.25" customHeight="1">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ht="14.25" customHeight="1">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ht="14.25" customHeight="1">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ht="14.25" customHeight="1">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ht="14.25" customHeight="1">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ht="14.25" customHeight="1">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ht="14.25" customHeight="1">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ht="14.25" customHeight="1">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ht="14.25" customHeight="1">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ht="14.25" customHeight="1">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ht="14.25" customHeight="1">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ht="14.25" customHeight="1">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ht="14.25" customHeight="1">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ht="14.25" customHeight="1">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ht="14.25" customHeight="1">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ht="14.25" customHeight="1">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ht="14.25" customHeight="1">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ht="14.25" customHeight="1">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ht="14.25" customHeight="1">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ht="14.25" customHeight="1">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ht="14.25" customHeight="1">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ht="14.25" customHeight="1">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ht="14.25" customHeight="1">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ht="14.25" customHeight="1">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ht="14.25" customHeight="1">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ht="14.25" customHeight="1">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ht="14.25" customHeight="1">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ht="14.25" customHeight="1">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ht="14.25" customHeight="1">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ht="14.25" customHeight="1">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ht="14.25" customHeight="1">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ht="14.25" customHeight="1">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ht="14.25" customHeight="1">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ht="14.25" customHeight="1">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ht="14.25" customHeight="1">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ht="14.25" customHeight="1">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ht="14.25" customHeight="1">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ht="14.25" customHeight="1">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ht="14.25" customHeight="1">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ht="14.25" customHeight="1">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ht="14.25" customHeight="1">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ht="14.25" customHeight="1">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ht="14.25" customHeight="1">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ht="14.25" customHeight="1">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ht="14.25" customHeight="1">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ht="14.25" customHeight="1">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ht="14.25" customHeight="1">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ht="14.25" customHeight="1">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ht="14.25" customHeight="1">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ht="14.25" customHeight="1">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ht="14.25" customHeight="1">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ht="14.25" customHeight="1">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ht="14.25" customHeight="1">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ht="14.25" customHeight="1">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ht="14.25" customHeight="1">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ht="14.25" customHeight="1">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ht="14.25" customHeight="1">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ht="14.25" customHeight="1">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ht="14.25" customHeight="1">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ht="14.25" customHeight="1">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ht="14.25" customHeight="1">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ht="14.25" customHeight="1">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ht="14.25" customHeight="1">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ht="14.25" customHeight="1">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ht="14.25" customHeight="1">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ht="14.25" customHeight="1">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ht="14.25" customHeight="1">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ht="14.25" customHeight="1">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ht="14.25" customHeight="1">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ht="14.25" customHeight="1">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ht="14.25" customHeight="1">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ht="14.25" customHeight="1">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ht="14.25" customHeight="1">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ht="14.25" customHeight="1">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ht="14.25" customHeight="1">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ht="14.25" customHeight="1">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ht="14.25" customHeight="1">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ht="14.25" customHeight="1">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ht="14.25" customHeight="1">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ht="14.25" customHeight="1">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ht="14.25" customHeight="1">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ht="14.25" customHeight="1">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ht="14.25" customHeight="1">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ht="14.25" customHeight="1">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ht="14.25" customHeight="1">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ht="14.25" customHeight="1">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ht="14.25" customHeight="1">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ht="14.25" customHeight="1">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ht="14.25" customHeight="1">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ht="14.25" customHeight="1">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ht="14.25" customHeight="1">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ht="14.25" customHeight="1">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ht="14.25" customHeight="1">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ht="14.25" customHeight="1">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ht="14.25" customHeight="1">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ht="14.25" customHeight="1">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ht="14.25" customHeight="1">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ht="14.25" customHeight="1">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ht="14.25" customHeight="1">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ht="14.25" customHeight="1">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ht="14.25" customHeight="1">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ht="14.25" customHeight="1">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ht="14.25" customHeight="1">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ht="14.25" customHeight="1">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ht="14.25" customHeight="1">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ht="14.25" customHeight="1">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ht="14.25" customHeight="1">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ht="14.25" customHeight="1">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ht="14.25" customHeight="1">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ht="14.25" customHeight="1">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ht="14.25" customHeight="1">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ht="14.25" customHeight="1">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ht="14.25" customHeight="1">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ht="14.25" customHeight="1">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ht="14.25" customHeight="1">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ht="14.25" customHeight="1">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ht="14.25" customHeight="1">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ht="14.25" customHeight="1">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ht="14.25" customHeight="1">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ht="14.25" customHeight="1">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ht="14.25" customHeight="1">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ht="14.25" customHeight="1">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ht="14.25" customHeight="1">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ht="14.25" customHeight="1">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ht="14.25" customHeight="1">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ht="14.25" customHeight="1">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ht="14.25" customHeight="1">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ht="14.25" customHeight="1">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ht="14.25" customHeight="1">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ht="14.25" customHeight="1">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ht="14.25" customHeight="1">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ht="14.25" customHeight="1">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ht="14.25" customHeight="1">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ht="14.25" customHeight="1">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ht="14.25" customHeight="1">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ht="14.25" customHeight="1">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ht="14.25" customHeight="1">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ht="14.25" customHeight="1">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ht="14.25" customHeight="1">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ht="14.25" customHeight="1">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ht="14.25" customHeight="1">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ht="14.25" customHeight="1">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ht="14.25" customHeight="1">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ht="14.25" customHeight="1">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ht="14.25" customHeight="1">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ht="14.25" customHeight="1">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ht="14.25" customHeight="1">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ht="14.25" customHeight="1">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ht="14.25" customHeight="1">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ht="14.25" customHeight="1">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ht="14.25" customHeight="1">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ht="14.25" customHeight="1">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ht="14.25" customHeight="1">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ht="14.25" customHeight="1">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ht="14.25" customHeight="1">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ht="14.25" customHeight="1">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ht="14.25" customHeight="1">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ht="14.25" customHeight="1">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ht="14.25" customHeight="1">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ht="14.25" customHeight="1">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ht="14.25" customHeight="1">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ht="14.25" customHeight="1">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ht="14.25" customHeight="1">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ht="14.25" customHeight="1">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ht="14.25" customHeight="1">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ht="14.25" customHeight="1">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ht="14.25" customHeight="1">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ht="14.25" customHeight="1">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ht="14.25" customHeight="1">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ht="14.25" customHeight="1">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ht="14.25" customHeight="1">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ht="14.25" customHeight="1">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row>
    <row r="308" ht="14.25" customHeight="1">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row>
    <row r="309" ht="14.25" customHeight="1">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row>
    <row r="310" ht="14.25" customHeight="1">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row>
    <row r="311" ht="14.25" customHeight="1">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row>
    <row r="312" ht="14.25" customHeight="1">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row>
    <row r="313" ht="14.25" customHeight="1">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row>
    <row r="314" ht="14.25" customHeight="1">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row>
    <row r="315" ht="14.25" customHeight="1">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row>
    <row r="316" ht="14.25" customHeight="1">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row>
    <row r="317" ht="14.25" customHeight="1">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row>
    <row r="318" ht="14.25" customHeight="1">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row>
    <row r="319" ht="14.25" customHeight="1">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row>
    <row r="320" ht="14.25" customHeight="1">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row>
    <row r="321" ht="14.25" customHeight="1">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row>
    <row r="322" ht="14.25" customHeight="1">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row>
    <row r="323" ht="14.25" customHeight="1">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row>
    <row r="324" ht="14.25" customHeight="1">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row>
    <row r="325" ht="14.25" customHeight="1">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row>
    <row r="326" ht="14.25" customHeight="1">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row>
    <row r="327" ht="14.25" customHeight="1">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row>
    <row r="328" ht="14.25" customHeight="1">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row>
    <row r="329" ht="14.25" customHeight="1">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row>
    <row r="330" ht="14.25" customHeight="1">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row>
    <row r="331" ht="14.25" customHeight="1">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row>
    <row r="332" ht="14.25" customHeight="1">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row>
    <row r="333" ht="14.25" customHeight="1">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row>
    <row r="334" ht="14.25" customHeight="1">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row>
    <row r="335" ht="14.25" customHeight="1">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row>
    <row r="336" ht="14.25" customHeight="1">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row>
    <row r="337" ht="14.25" customHeight="1">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row>
    <row r="338" ht="14.25" customHeight="1">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row>
    <row r="339" ht="14.25" customHeight="1">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row>
    <row r="340" ht="14.25" customHeight="1">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row>
    <row r="341" ht="14.25" customHeight="1">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row>
    <row r="342" ht="14.25" customHeight="1">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row>
    <row r="343" ht="14.25" customHeight="1">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row>
    <row r="344" ht="14.25" customHeight="1">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row>
    <row r="345" ht="14.25" customHeight="1">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row>
    <row r="346" ht="14.25" customHeight="1">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row>
    <row r="347" ht="14.25" customHeight="1">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row>
    <row r="348" ht="14.25" customHeight="1">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row>
    <row r="349" ht="14.25" customHeight="1">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row>
    <row r="350" ht="14.25" customHeight="1">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row>
    <row r="351" ht="14.25" customHeight="1">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row>
    <row r="352" ht="14.25" customHeight="1">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row>
    <row r="353" ht="14.25" customHeight="1">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row>
    <row r="354" ht="14.25" customHeight="1">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row>
    <row r="355" ht="14.25" customHeight="1">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row>
    <row r="356" ht="14.25" customHeight="1">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row>
    <row r="357" ht="14.25" customHeight="1">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row>
    <row r="358" ht="14.25" customHeight="1">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row>
    <row r="359" ht="14.25" customHeight="1">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row>
    <row r="360" ht="14.25" customHeight="1">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row>
    <row r="361" ht="14.25" customHeight="1">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row>
    <row r="362" ht="14.25" customHeight="1">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row>
    <row r="363" ht="14.25" customHeight="1">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row>
    <row r="364" ht="14.25" customHeight="1">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row>
    <row r="365" ht="14.25" customHeight="1">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row>
    <row r="366" ht="14.25" customHeight="1">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row>
    <row r="367" ht="14.25" customHeight="1">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row>
    <row r="368" ht="14.25" customHeight="1">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row>
    <row r="369" ht="14.25" customHeight="1">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row>
    <row r="370" ht="14.25" customHeight="1">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row>
    <row r="371" ht="14.25" customHeight="1">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row>
    <row r="372" ht="14.25" customHeight="1">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row>
    <row r="373" ht="14.25" customHeight="1">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row>
    <row r="374" ht="14.25" customHeight="1">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row>
    <row r="375" ht="14.25" customHeight="1">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row>
    <row r="376" ht="14.25" customHeight="1">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row>
    <row r="377" ht="14.25" customHeight="1">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row>
    <row r="378" ht="14.25" customHeight="1">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row>
    <row r="379" ht="14.25" customHeight="1">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row>
    <row r="380" ht="14.25" customHeight="1">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row>
    <row r="381" ht="14.25" customHeight="1">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row>
    <row r="382" ht="14.25" customHeight="1">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row>
    <row r="383" ht="14.25" customHeight="1">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row>
    <row r="384" ht="14.25" customHeight="1">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row>
    <row r="385" ht="14.25" customHeight="1">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row>
    <row r="386" ht="14.25" customHeight="1">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row>
    <row r="387" ht="14.25" customHeight="1">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row>
    <row r="388" ht="14.25" customHeight="1">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row>
    <row r="389" ht="14.25" customHeight="1">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row>
    <row r="390" ht="14.25" customHeight="1">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row>
    <row r="391" ht="14.25" customHeight="1">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row>
    <row r="392" ht="14.25" customHeight="1">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row>
    <row r="393" ht="14.25" customHeight="1">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row>
    <row r="394" ht="14.25" customHeight="1">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row>
    <row r="395" ht="14.25" customHeight="1">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row>
    <row r="396" ht="14.25" customHeight="1">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row>
    <row r="397" ht="14.25" customHeight="1">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row>
    <row r="398" ht="14.25" customHeight="1">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row>
    <row r="399" ht="14.25" customHeight="1">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row>
    <row r="400" ht="14.25" customHeight="1">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row>
    <row r="401" ht="14.25" customHeight="1">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row>
    <row r="402" ht="14.25" customHeight="1">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row>
    <row r="403" ht="14.25" customHeight="1">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row>
    <row r="404" ht="14.25" customHeight="1">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row>
    <row r="405" ht="14.25" customHeight="1">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row>
    <row r="406" ht="14.25" customHeight="1">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row>
    <row r="407" ht="14.25" customHeight="1">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row>
    <row r="408" ht="14.25" customHeight="1">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row>
    <row r="409" ht="14.25" customHeight="1">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row>
    <row r="410" ht="14.25" customHeight="1">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row>
    <row r="411" ht="14.25" customHeight="1">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row>
    <row r="412" ht="14.25" customHeight="1">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row>
    <row r="413" ht="14.25" customHeight="1">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row>
    <row r="414" ht="14.25" customHeight="1">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row>
    <row r="415" ht="14.25" customHeight="1">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row>
    <row r="416" ht="14.25" customHeight="1">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row>
    <row r="417" ht="14.25" customHeight="1">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row>
    <row r="418" ht="14.25" customHeight="1">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row>
    <row r="419" ht="14.25" customHeight="1">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row>
    <row r="420" ht="14.25" customHeight="1">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row>
    <row r="421" ht="14.25" customHeight="1">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row>
    <row r="422" ht="14.25" customHeight="1">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row>
    <row r="423" ht="14.25" customHeight="1">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row>
    <row r="424" ht="14.25" customHeight="1">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row>
    <row r="425" ht="14.25" customHeight="1">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row>
    <row r="426" ht="14.25" customHeight="1">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row>
    <row r="427" ht="14.25" customHeight="1">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row>
    <row r="428" ht="14.25" customHeight="1">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row>
    <row r="429" ht="14.25" customHeight="1">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row>
    <row r="430" ht="14.25" customHeight="1">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row>
    <row r="431" ht="14.25" customHeight="1">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row>
    <row r="432" ht="14.25" customHeight="1">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row>
    <row r="433" ht="14.25" customHeight="1">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row>
    <row r="434" ht="14.25" customHeight="1">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row>
    <row r="435" ht="14.25" customHeight="1">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row>
    <row r="436" ht="14.25" customHeight="1">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row>
    <row r="437" ht="14.25" customHeight="1">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row>
    <row r="438" ht="14.25" customHeight="1">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row>
    <row r="439" ht="14.25" customHeight="1">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row>
    <row r="440" ht="14.25" customHeight="1">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row>
    <row r="441" ht="14.25" customHeight="1">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row>
    <row r="442" ht="14.25" customHeight="1">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row>
    <row r="443" ht="14.25" customHeight="1">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row>
    <row r="444" ht="14.25" customHeight="1">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row>
    <row r="445" ht="14.25" customHeight="1">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row>
    <row r="446" ht="14.25" customHeight="1">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row>
    <row r="447" ht="14.25" customHeight="1">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row>
    <row r="448" ht="14.25" customHeight="1">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row>
    <row r="449" ht="14.25" customHeight="1">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row>
    <row r="450" ht="14.25" customHeight="1">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row>
    <row r="451" ht="14.25" customHeight="1">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row>
    <row r="452" ht="14.25" customHeight="1">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row>
    <row r="453" ht="14.25" customHeight="1">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row>
    <row r="454" ht="14.25" customHeight="1">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row>
    <row r="455" ht="14.25" customHeight="1">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row>
    <row r="456" ht="14.25" customHeight="1">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row>
    <row r="457" ht="14.25" customHeight="1">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row>
    <row r="458" ht="14.25" customHeight="1">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row>
    <row r="459" ht="14.25" customHeight="1">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row>
    <row r="460" ht="14.25" customHeight="1">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row>
    <row r="461" ht="14.25" customHeight="1">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row>
    <row r="462" ht="14.25" customHeight="1">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row>
    <row r="463" ht="14.25" customHeight="1">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row>
    <row r="464" ht="14.25" customHeight="1">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row>
    <row r="465" ht="14.25" customHeight="1">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row>
    <row r="466" ht="14.25" customHeight="1">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row>
    <row r="467" ht="14.25" customHeight="1">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row>
    <row r="468" ht="14.25" customHeight="1">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row>
    <row r="469" ht="14.25" customHeight="1">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row>
    <row r="470" ht="14.25" customHeight="1">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row>
    <row r="471" ht="14.25" customHeight="1">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row>
    <row r="472" ht="14.25" customHeight="1">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row>
    <row r="473" ht="14.25" customHeight="1">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row>
    <row r="474" ht="14.25" customHeight="1">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row>
    <row r="475" ht="14.25" customHeight="1">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row>
    <row r="476" ht="14.25" customHeight="1">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row>
    <row r="477" ht="14.25" customHeight="1">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row>
    <row r="478" ht="14.25" customHeight="1">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row>
    <row r="479" ht="14.25" customHeight="1">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row>
    <row r="480" ht="14.25" customHeight="1">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row>
    <row r="481" ht="14.25" customHeight="1">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row>
    <row r="482" ht="14.25" customHeight="1">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row>
    <row r="483" ht="14.25" customHeight="1">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row>
    <row r="484" ht="14.25" customHeight="1">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row>
    <row r="485" ht="14.25" customHeight="1">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row>
    <row r="486" ht="14.25" customHeight="1">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row>
    <row r="487" ht="14.25" customHeight="1">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row>
    <row r="488" ht="14.25" customHeight="1">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row>
    <row r="489" ht="14.25" customHeight="1">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row>
    <row r="490" ht="14.25" customHeight="1">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row>
    <row r="491" ht="14.25" customHeight="1">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row>
    <row r="492" ht="14.25" customHeight="1">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row>
    <row r="493" ht="14.25" customHeight="1">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row>
    <row r="494" ht="14.25" customHeight="1">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row>
    <row r="495" ht="14.25" customHeight="1">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row>
    <row r="496" ht="14.25" customHeight="1">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row>
    <row r="497" ht="14.25" customHeight="1">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row>
    <row r="498" ht="14.25" customHeight="1">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row>
    <row r="499" ht="14.25" customHeight="1">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row>
    <row r="500" ht="14.25" customHeight="1">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row>
    <row r="501" ht="14.25" customHeight="1">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row>
    <row r="502" ht="14.25" customHeight="1">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row>
    <row r="503" ht="14.25" customHeight="1">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row>
    <row r="504" ht="14.25" customHeight="1">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row>
    <row r="505" ht="14.25" customHeight="1">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row>
    <row r="506" ht="14.25" customHeight="1">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row>
    <row r="507" ht="14.25" customHeight="1">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row>
    <row r="508" ht="14.25" customHeight="1">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row>
    <row r="509" ht="14.25" customHeight="1">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row>
    <row r="510" ht="14.25" customHeight="1">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row>
    <row r="511" ht="14.25" customHeight="1">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row>
    <row r="512" ht="14.25" customHeight="1">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row>
    <row r="513" ht="14.25" customHeight="1">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row>
    <row r="514" ht="14.25" customHeight="1">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row>
    <row r="515" ht="14.25" customHeight="1">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row>
    <row r="516" ht="14.25" customHeight="1">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row>
    <row r="517" ht="14.25" customHeight="1">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row>
    <row r="518" ht="14.25" customHeight="1">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row>
    <row r="519" ht="14.25" customHeight="1">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row>
    <row r="520" ht="14.25" customHeight="1">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row>
    <row r="521" ht="14.25" customHeight="1">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row>
    <row r="522" ht="14.25" customHeight="1">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row>
    <row r="523" ht="14.25" customHeight="1">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row>
    <row r="524" ht="14.25" customHeight="1">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row>
    <row r="525" ht="14.25" customHeight="1">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row>
    <row r="526" ht="14.25" customHeight="1">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row>
    <row r="527" ht="14.25" customHeight="1">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row>
    <row r="528" ht="14.25" customHeight="1">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row>
    <row r="529" ht="14.25" customHeight="1">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row>
    <row r="530" ht="14.25" customHeight="1">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row>
    <row r="531" ht="14.25" customHeight="1">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row>
    <row r="532" ht="14.25" customHeight="1">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row>
    <row r="533" ht="14.25" customHeight="1">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row>
    <row r="534" ht="14.25" customHeight="1">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row>
    <row r="535" ht="14.25" customHeight="1">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row>
    <row r="536" ht="14.25" customHeight="1">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row>
    <row r="537" ht="14.25" customHeight="1">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row>
    <row r="538" ht="14.25" customHeight="1">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row>
    <row r="539" ht="14.25" customHeight="1">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row>
    <row r="540" ht="14.25" customHeight="1">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row>
    <row r="541" ht="14.25" customHeight="1">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row>
    <row r="542" ht="14.25" customHeight="1">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row>
    <row r="543" ht="14.25" customHeight="1">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row>
    <row r="544" ht="14.25" customHeight="1">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row>
    <row r="545" ht="14.25" customHeight="1">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row>
    <row r="546" ht="14.25" customHeight="1">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row>
    <row r="547" ht="14.25" customHeight="1">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row>
    <row r="548" ht="14.25" customHeight="1">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row>
    <row r="549" ht="14.25" customHeight="1">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row>
    <row r="550" ht="14.25" customHeight="1">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row>
    <row r="551" ht="14.25" customHeight="1">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row>
    <row r="552" ht="14.25" customHeight="1">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row>
    <row r="553" ht="14.25" customHeight="1">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row>
    <row r="554" ht="14.25" customHeight="1">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row>
    <row r="555" ht="14.25" customHeight="1">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row>
    <row r="556" ht="14.25" customHeight="1">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row>
    <row r="557" ht="14.25" customHeight="1">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row>
    <row r="558" ht="14.25" customHeight="1">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row>
    <row r="559" ht="14.25" customHeight="1">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row>
    <row r="560" ht="14.25" customHeight="1">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row>
    <row r="561" ht="14.25" customHeight="1">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row>
    <row r="562" ht="14.25" customHeight="1">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row>
    <row r="563" ht="14.25" customHeight="1">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row>
    <row r="564" ht="14.25" customHeight="1">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row>
    <row r="565" ht="14.25" customHeight="1">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row>
    <row r="566" ht="14.25" customHeight="1">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row>
    <row r="567" ht="14.25" customHeight="1">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row>
    <row r="568" ht="14.25" customHeight="1">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row>
    <row r="569" ht="14.25" customHeight="1">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row>
    <row r="570" ht="14.25" customHeight="1">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row>
    <row r="571" ht="14.25" customHeight="1">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row>
    <row r="572" ht="14.25" customHeight="1">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row>
    <row r="573" ht="14.25" customHeight="1">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row>
    <row r="574" ht="14.25" customHeight="1">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row>
    <row r="575" ht="14.25" customHeight="1">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row>
    <row r="576" ht="14.25" customHeight="1">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row>
    <row r="577" ht="14.25" customHeight="1">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row>
    <row r="578" ht="14.25" customHeight="1">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row>
    <row r="579" ht="14.25" customHeight="1">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row>
    <row r="580" ht="14.25" customHeight="1">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row>
    <row r="581" ht="14.25" customHeight="1">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row>
    <row r="582" ht="14.25" customHeight="1">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row>
    <row r="583" ht="14.25" customHeight="1">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row>
    <row r="584" ht="14.25" customHeight="1">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row>
    <row r="585" ht="14.25" customHeight="1">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row>
    <row r="586" ht="14.25" customHeight="1">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row>
    <row r="587" ht="14.25" customHeight="1">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row>
    <row r="588" ht="14.25" customHeight="1">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row>
    <row r="589" ht="14.25" customHeight="1">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row>
    <row r="590" ht="14.25" customHeight="1">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row>
    <row r="591" ht="14.25" customHeight="1">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row>
    <row r="592" ht="14.25" customHeight="1">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row>
    <row r="593" ht="14.25" customHeight="1">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row>
    <row r="594" ht="14.25" customHeight="1">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row>
    <row r="595" ht="14.25" customHeight="1">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row>
    <row r="596" ht="14.25" customHeight="1">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row>
    <row r="597" ht="14.25" customHeight="1">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row>
    <row r="598" ht="14.25" customHeight="1">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row>
    <row r="599" ht="14.25" customHeight="1">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row>
    <row r="600" ht="14.25" customHeight="1">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row>
    <row r="601" ht="14.25" customHeight="1">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row>
    <row r="602" ht="14.25" customHeight="1">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row>
    <row r="603" ht="14.25" customHeight="1">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row>
    <row r="604" ht="14.25" customHeight="1">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row>
    <row r="605" ht="14.25" customHeight="1">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row>
    <row r="606" ht="14.25" customHeight="1">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row>
    <row r="607" ht="14.25" customHeight="1">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row>
    <row r="608" ht="14.25" customHeight="1">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row>
    <row r="609" ht="14.25" customHeight="1">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row>
    <row r="610" ht="14.25" customHeight="1">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row>
    <row r="611" ht="14.25" customHeight="1">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row>
    <row r="612" ht="14.25" customHeight="1">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row>
    <row r="613" ht="14.25" customHeight="1">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row>
    <row r="614" ht="14.25" customHeight="1">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row>
    <row r="615" ht="14.25" customHeight="1">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row>
    <row r="616" ht="14.25" customHeight="1">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row>
    <row r="617" ht="14.25" customHeight="1">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row>
    <row r="618" ht="14.25" customHeight="1">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row>
    <row r="619" ht="14.25" customHeight="1">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row>
    <row r="620" ht="14.25" customHeight="1">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row>
    <row r="621" ht="14.25" customHeight="1">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row>
    <row r="622" ht="14.25" customHeight="1">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row>
    <row r="623" ht="14.25" customHeight="1">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row>
    <row r="624" ht="14.25" customHeight="1">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row>
    <row r="625" ht="14.25" customHeight="1">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row>
    <row r="626" ht="14.25" customHeight="1">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row>
    <row r="627" ht="14.25" customHeight="1">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row>
    <row r="628" ht="14.25" customHeight="1">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row>
    <row r="629" ht="14.25" customHeight="1">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row>
    <row r="630" ht="14.25" customHeight="1">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row>
    <row r="631" ht="14.25" customHeight="1">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row>
    <row r="632" ht="14.25" customHeight="1">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row>
    <row r="633" ht="14.25" customHeight="1">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row>
    <row r="634" ht="14.25" customHeight="1">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row>
    <row r="635" ht="14.25" customHeight="1">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row>
    <row r="636" ht="14.25" customHeight="1">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row>
    <row r="637" ht="14.25" customHeight="1">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row>
    <row r="638" ht="14.25" customHeight="1">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row>
    <row r="639" ht="14.25" customHeight="1">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row>
    <row r="640" ht="14.25" customHeight="1">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row>
    <row r="641" ht="14.25" customHeight="1">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row>
    <row r="642" ht="14.25" customHeight="1">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row>
    <row r="643" ht="14.25" customHeight="1">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row>
    <row r="644" ht="14.25" customHeight="1">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row>
    <row r="645" ht="14.25" customHeight="1">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row>
    <row r="646" ht="14.25" customHeight="1">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row>
    <row r="647" ht="14.25" customHeight="1">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row>
    <row r="648" ht="14.25" customHeight="1">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row>
    <row r="649" ht="14.25" customHeight="1">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row>
    <row r="650" ht="14.25" customHeight="1">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row>
    <row r="651" ht="14.25" customHeight="1">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row>
    <row r="652" ht="14.25" customHeight="1">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row>
    <row r="653" ht="14.25" customHeight="1">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row>
    <row r="654" ht="14.25" customHeight="1">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row>
    <row r="655" ht="14.25" customHeight="1">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row>
    <row r="656" ht="14.25" customHeight="1">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row>
    <row r="657" ht="14.25" customHeight="1">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row>
    <row r="658" ht="14.25" customHeight="1">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row>
    <row r="659" ht="14.25" customHeight="1">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row>
    <row r="660" ht="14.25" customHeight="1">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row>
    <row r="661" ht="14.25" customHeight="1">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row>
    <row r="662" ht="14.25" customHeight="1">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row>
    <row r="663" ht="14.25" customHeight="1">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row>
    <row r="664" ht="14.25" customHeight="1">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row>
    <row r="665" ht="14.25" customHeight="1">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row>
    <row r="666" ht="14.25" customHeight="1">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row>
    <row r="667" ht="14.25" customHeight="1">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row>
    <row r="668" ht="14.25" customHeight="1">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row>
    <row r="669" ht="14.25" customHeight="1">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row>
    <row r="670" ht="14.25" customHeight="1">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row>
    <row r="671" ht="14.25" customHeight="1">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row>
    <row r="672" ht="14.25" customHeight="1">
      <c r="A672" s="195"/>
      <c r="B672" s="195"/>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row>
    <row r="673" ht="14.25" customHeight="1">
      <c r="A673" s="195"/>
      <c r="B673" s="195"/>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row>
    <row r="674" ht="14.25" customHeight="1">
      <c r="A674" s="195"/>
      <c r="B674" s="195"/>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row>
    <row r="675" ht="14.25" customHeight="1">
      <c r="A675" s="195"/>
      <c r="B675" s="195"/>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row>
    <row r="676" ht="14.25" customHeight="1">
      <c r="A676" s="195"/>
      <c r="B676" s="195"/>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row>
    <row r="677" ht="14.25" customHeight="1">
      <c r="A677" s="195"/>
      <c r="B677" s="195"/>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row>
    <row r="678" ht="14.25" customHeight="1">
      <c r="A678" s="195"/>
      <c r="B678" s="195"/>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row>
    <row r="679" ht="14.25" customHeight="1">
      <c r="A679" s="195"/>
      <c r="B679" s="195"/>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row>
    <row r="680" ht="14.25" customHeight="1">
      <c r="A680" s="195"/>
      <c r="B680" s="195"/>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row>
    <row r="681" ht="14.25" customHeight="1">
      <c r="A681" s="195"/>
      <c r="B681" s="195"/>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row>
    <row r="682" ht="14.25" customHeight="1">
      <c r="A682" s="195"/>
      <c r="B682" s="195"/>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row>
    <row r="683" ht="14.25" customHeight="1">
      <c r="A683" s="195"/>
      <c r="B683" s="195"/>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row>
    <row r="684" ht="14.25" customHeight="1">
      <c r="A684" s="195"/>
      <c r="B684" s="195"/>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row>
    <row r="685" ht="14.25" customHeight="1">
      <c r="A685" s="195"/>
      <c r="B685" s="195"/>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row>
    <row r="686" ht="14.25" customHeight="1">
      <c r="A686" s="195"/>
      <c r="B686" s="195"/>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row>
    <row r="687" ht="14.25" customHeight="1">
      <c r="A687" s="195"/>
      <c r="B687" s="195"/>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row>
    <row r="688" ht="14.25" customHeight="1">
      <c r="A688" s="195"/>
      <c r="B688" s="195"/>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row>
    <row r="689" ht="14.25" customHeight="1">
      <c r="A689" s="195"/>
      <c r="B689" s="195"/>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row>
    <row r="690" ht="14.25" customHeight="1">
      <c r="A690" s="195"/>
      <c r="B690" s="195"/>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row>
    <row r="691" ht="14.25" customHeight="1">
      <c r="A691" s="195"/>
      <c r="B691" s="195"/>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row>
    <row r="692" ht="14.25" customHeight="1">
      <c r="A692" s="195"/>
      <c r="B692" s="195"/>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row>
    <row r="693" ht="14.25" customHeight="1">
      <c r="A693" s="195"/>
      <c r="B693" s="195"/>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row>
    <row r="694" ht="14.25" customHeight="1">
      <c r="A694" s="195"/>
      <c r="B694" s="195"/>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row>
    <row r="695" ht="14.25" customHeight="1">
      <c r="A695" s="195"/>
      <c r="B695" s="195"/>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row>
    <row r="696" ht="14.25" customHeight="1">
      <c r="A696" s="195"/>
      <c r="B696" s="195"/>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row>
    <row r="697" ht="14.25" customHeight="1">
      <c r="A697" s="195"/>
      <c r="B697" s="195"/>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row>
    <row r="698" ht="14.25" customHeight="1">
      <c r="A698" s="195"/>
      <c r="B698" s="195"/>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row>
    <row r="699" ht="14.25" customHeight="1">
      <c r="A699" s="195"/>
      <c r="B699" s="195"/>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row>
    <row r="700" ht="14.25" customHeight="1">
      <c r="A700" s="195"/>
      <c r="B700" s="195"/>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row>
    <row r="701" ht="14.25" customHeight="1">
      <c r="A701" s="195"/>
      <c r="B701" s="195"/>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row>
    <row r="702" ht="14.25" customHeight="1">
      <c r="A702" s="195"/>
      <c r="B702" s="195"/>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row>
    <row r="703" ht="14.25" customHeight="1">
      <c r="A703" s="195"/>
      <c r="B703" s="195"/>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row>
    <row r="704" ht="14.25" customHeight="1">
      <c r="A704" s="195"/>
      <c r="B704" s="195"/>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row>
    <row r="705" ht="14.25" customHeight="1">
      <c r="A705" s="195"/>
      <c r="B705" s="195"/>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row>
    <row r="706" ht="14.25" customHeight="1">
      <c r="A706" s="195"/>
      <c r="B706" s="195"/>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row>
    <row r="707" ht="14.25" customHeight="1">
      <c r="A707" s="195"/>
      <c r="B707" s="195"/>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row>
    <row r="708" ht="14.25" customHeight="1">
      <c r="A708" s="195"/>
      <c r="B708" s="195"/>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row>
    <row r="709" ht="14.25" customHeight="1">
      <c r="A709" s="195"/>
      <c r="B709" s="195"/>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row>
    <row r="710" ht="14.25" customHeight="1">
      <c r="A710" s="195"/>
      <c r="B710" s="195"/>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row>
    <row r="711" ht="14.25" customHeight="1">
      <c r="A711" s="195"/>
      <c r="B711" s="195"/>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row>
    <row r="712" ht="14.25" customHeight="1">
      <c r="A712" s="195"/>
      <c r="B712" s="195"/>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row>
    <row r="713" ht="14.25" customHeight="1">
      <c r="A713" s="195"/>
      <c r="B713" s="195"/>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row>
    <row r="714" ht="14.25" customHeight="1">
      <c r="A714" s="195"/>
      <c r="B714" s="195"/>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row>
    <row r="715" ht="14.25" customHeight="1">
      <c r="A715" s="195"/>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row>
    <row r="716" ht="14.25" customHeight="1">
      <c r="A716" s="195"/>
      <c r="B716" s="195"/>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row>
    <row r="717" ht="14.25" customHeight="1">
      <c r="A717" s="195"/>
      <c r="B717" s="195"/>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row>
    <row r="718" ht="14.25" customHeight="1">
      <c r="A718" s="195"/>
      <c r="B718" s="195"/>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row>
    <row r="719" ht="14.25" customHeight="1">
      <c r="A719" s="195"/>
      <c r="B719" s="195"/>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row>
    <row r="720" ht="14.25" customHeight="1">
      <c r="A720" s="195"/>
      <c r="B720" s="195"/>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row>
    <row r="721" ht="14.25" customHeight="1">
      <c r="A721" s="195"/>
      <c r="B721" s="195"/>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row>
    <row r="722" ht="14.25" customHeight="1">
      <c r="A722" s="195"/>
      <c r="B722" s="195"/>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row>
    <row r="723" ht="14.25" customHeight="1">
      <c r="A723" s="195"/>
      <c r="B723" s="195"/>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row>
    <row r="724" ht="14.25" customHeight="1">
      <c r="A724" s="195"/>
      <c r="B724" s="195"/>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row>
    <row r="725" ht="14.25" customHeight="1">
      <c r="A725" s="195"/>
      <c r="B725" s="195"/>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row>
    <row r="726" ht="14.25" customHeight="1">
      <c r="A726" s="195"/>
      <c r="B726" s="195"/>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row>
    <row r="727" ht="14.25" customHeight="1">
      <c r="A727" s="195"/>
      <c r="B727" s="195"/>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row>
    <row r="728" ht="14.25" customHeight="1">
      <c r="A728" s="195"/>
      <c r="B728" s="195"/>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row>
    <row r="729" ht="14.25" customHeight="1">
      <c r="A729" s="195"/>
      <c r="B729" s="195"/>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row>
    <row r="730" ht="14.25" customHeight="1">
      <c r="A730" s="195"/>
      <c r="B730" s="195"/>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row>
    <row r="731" ht="14.25" customHeight="1">
      <c r="A731" s="195"/>
      <c r="B731" s="195"/>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row>
    <row r="732" ht="14.25" customHeight="1">
      <c r="A732" s="195"/>
      <c r="B732" s="195"/>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row>
    <row r="733" ht="14.25" customHeight="1">
      <c r="A733" s="195"/>
      <c r="B733" s="195"/>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row>
    <row r="734" ht="14.25" customHeight="1">
      <c r="A734" s="195"/>
      <c r="B734" s="195"/>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row>
    <row r="735" ht="14.25" customHeight="1">
      <c r="A735" s="195"/>
      <c r="B735" s="195"/>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row>
    <row r="736" ht="14.25" customHeight="1">
      <c r="A736" s="195"/>
      <c r="B736" s="195"/>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row>
    <row r="737" ht="14.25" customHeight="1">
      <c r="A737" s="195"/>
      <c r="B737" s="195"/>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row>
    <row r="738" ht="14.25" customHeight="1">
      <c r="A738" s="195"/>
      <c r="B738" s="195"/>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row>
    <row r="739" ht="14.25" customHeight="1">
      <c r="A739" s="195"/>
      <c r="B739" s="195"/>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row>
    <row r="740" ht="14.25" customHeight="1">
      <c r="A740" s="195"/>
      <c r="B740" s="195"/>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row>
    <row r="741" ht="14.25" customHeight="1">
      <c r="A741" s="195"/>
      <c r="B741" s="195"/>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row>
    <row r="742" ht="14.25" customHeight="1">
      <c r="A742" s="195"/>
      <c r="B742" s="195"/>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row>
    <row r="743" ht="14.25" customHeight="1">
      <c r="A743" s="195"/>
      <c r="B743" s="195"/>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row>
    <row r="744" ht="14.25" customHeight="1">
      <c r="A744" s="195"/>
      <c r="B744" s="195"/>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row>
    <row r="745" ht="14.25" customHeight="1">
      <c r="A745" s="195"/>
      <c r="B745" s="195"/>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row>
    <row r="746" ht="14.25" customHeight="1">
      <c r="A746" s="195"/>
      <c r="B746" s="195"/>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row>
    <row r="747" ht="14.25" customHeight="1">
      <c r="A747" s="195"/>
      <c r="B747" s="195"/>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row>
    <row r="748" ht="14.25" customHeight="1">
      <c r="A748" s="195"/>
      <c r="B748" s="195"/>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row>
    <row r="749" ht="14.25" customHeight="1">
      <c r="A749" s="195"/>
      <c r="B749" s="195"/>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row>
    <row r="750" ht="14.25" customHeight="1">
      <c r="A750" s="195"/>
      <c r="B750" s="195"/>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row>
    <row r="751" ht="14.25" customHeight="1">
      <c r="A751" s="195"/>
      <c r="B751" s="195"/>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row>
    <row r="752" ht="14.25" customHeight="1">
      <c r="A752" s="195"/>
      <c r="B752" s="195"/>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row>
    <row r="753" ht="14.25" customHeight="1">
      <c r="A753" s="195"/>
      <c r="B753" s="195"/>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row>
    <row r="754" ht="14.25" customHeight="1">
      <c r="A754" s="195"/>
      <c r="B754" s="195"/>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row>
    <row r="755" ht="14.25" customHeight="1">
      <c r="A755" s="195"/>
      <c r="B755" s="195"/>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row>
    <row r="756" ht="14.25" customHeight="1">
      <c r="A756" s="195"/>
      <c r="B756" s="195"/>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row>
    <row r="757" ht="14.25" customHeight="1">
      <c r="A757" s="195"/>
      <c r="B757" s="195"/>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row>
    <row r="758" ht="14.25" customHeight="1">
      <c r="A758" s="195"/>
      <c r="B758" s="195"/>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row>
    <row r="759" ht="14.25" customHeight="1">
      <c r="A759" s="195"/>
      <c r="B759" s="195"/>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row>
    <row r="760" ht="14.25" customHeight="1">
      <c r="A760" s="195"/>
      <c r="B760" s="195"/>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row>
    <row r="761" ht="14.25" customHeight="1">
      <c r="A761" s="195"/>
      <c r="B761" s="195"/>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row>
    <row r="762" ht="14.25" customHeight="1">
      <c r="A762" s="195"/>
      <c r="B762" s="195"/>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row>
    <row r="763" ht="14.25" customHeight="1">
      <c r="A763" s="195"/>
      <c r="B763" s="195"/>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row>
    <row r="764" ht="14.25" customHeight="1">
      <c r="A764" s="195"/>
      <c r="B764" s="195"/>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row>
    <row r="765" ht="14.25" customHeight="1">
      <c r="A765" s="195"/>
      <c r="B765" s="195"/>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row>
    <row r="766" ht="14.25" customHeight="1">
      <c r="A766" s="195"/>
      <c r="B766" s="195"/>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row>
    <row r="767" ht="14.25" customHeight="1">
      <c r="A767" s="195"/>
      <c r="B767" s="195"/>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row>
    <row r="768" ht="14.25" customHeight="1">
      <c r="A768" s="195"/>
      <c r="B768" s="195"/>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row>
    <row r="769" ht="14.25" customHeight="1">
      <c r="A769" s="195"/>
      <c r="B769" s="195"/>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row>
    <row r="770" ht="14.25" customHeight="1">
      <c r="A770" s="195"/>
      <c r="B770" s="195"/>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row>
    <row r="771" ht="14.25" customHeight="1">
      <c r="A771" s="195"/>
      <c r="B771" s="195"/>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row>
    <row r="772" ht="14.25" customHeight="1">
      <c r="A772" s="195"/>
      <c r="B772" s="195"/>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row>
    <row r="773" ht="14.25" customHeight="1">
      <c r="A773" s="195"/>
      <c r="B773" s="195"/>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row>
    <row r="774" ht="14.25" customHeight="1">
      <c r="A774" s="195"/>
      <c r="B774" s="195"/>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row>
    <row r="775" ht="14.25" customHeight="1">
      <c r="A775" s="195"/>
      <c r="B775" s="195"/>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row>
    <row r="776" ht="14.25" customHeight="1">
      <c r="A776" s="195"/>
      <c r="B776" s="195"/>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row>
    <row r="777" ht="14.25" customHeight="1">
      <c r="A777" s="195"/>
      <c r="B777" s="195"/>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row>
    <row r="778" ht="14.25" customHeight="1">
      <c r="A778" s="195"/>
      <c r="B778" s="195"/>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row>
    <row r="779" ht="14.25" customHeight="1">
      <c r="A779" s="195"/>
      <c r="B779" s="195"/>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row>
    <row r="780" ht="14.25" customHeight="1">
      <c r="A780" s="195"/>
      <c r="B780" s="195"/>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row>
    <row r="781" ht="14.25" customHeight="1">
      <c r="A781" s="195"/>
      <c r="B781" s="195"/>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row>
    <row r="782" ht="14.25" customHeight="1">
      <c r="A782" s="195"/>
      <c r="B782" s="195"/>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row>
    <row r="783" ht="14.25" customHeight="1">
      <c r="A783" s="195"/>
      <c r="B783" s="195"/>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row>
    <row r="784" ht="14.25" customHeight="1">
      <c r="A784" s="195"/>
      <c r="B784" s="195"/>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row>
    <row r="785" ht="14.25" customHeight="1">
      <c r="A785" s="195"/>
      <c r="B785" s="195"/>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row>
    <row r="786" ht="14.25" customHeight="1">
      <c r="A786" s="195"/>
      <c r="B786" s="195"/>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row>
    <row r="787" ht="14.25" customHeight="1">
      <c r="A787" s="195"/>
      <c r="B787" s="195"/>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row>
    <row r="788" ht="14.25" customHeight="1">
      <c r="A788" s="195"/>
      <c r="B788" s="195"/>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row>
    <row r="789" ht="14.25" customHeight="1">
      <c r="A789" s="195"/>
      <c r="B789" s="195"/>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row>
    <row r="790" ht="14.25" customHeight="1">
      <c r="A790" s="195"/>
      <c r="B790" s="195"/>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row>
    <row r="791" ht="14.25" customHeight="1">
      <c r="A791" s="195"/>
      <c r="B791" s="195"/>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row>
    <row r="792" ht="14.25" customHeight="1">
      <c r="A792" s="195"/>
      <c r="B792" s="195"/>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row>
    <row r="793" ht="14.25" customHeight="1">
      <c r="A793" s="195"/>
      <c r="B793" s="195"/>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row>
    <row r="794" ht="14.25" customHeight="1">
      <c r="A794" s="195"/>
      <c r="B794" s="195"/>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row>
    <row r="795" ht="14.25" customHeight="1">
      <c r="A795" s="195"/>
      <c r="B795" s="195"/>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row>
    <row r="796" ht="14.25" customHeight="1">
      <c r="A796" s="195"/>
      <c r="B796" s="195"/>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row>
    <row r="797" ht="14.25" customHeight="1">
      <c r="A797" s="195"/>
      <c r="B797" s="195"/>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row>
    <row r="798" ht="14.25" customHeight="1">
      <c r="A798" s="195"/>
      <c r="B798" s="195"/>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row>
    <row r="799" ht="14.25" customHeight="1">
      <c r="A799" s="195"/>
      <c r="B799" s="195"/>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row>
    <row r="800" ht="14.25" customHeight="1">
      <c r="A800" s="195"/>
      <c r="B800" s="195"/>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row>
    <row r="801" ht="14.25" customHeight="1">
      <c r="A801" s="195"/>
      <c r="B801" s="195"/>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row>
    <row r="802" ht="14.25" customHeight="1">
      <c r="A802" s="195"/>
      <c r="B802" s="195"/>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row>
    <row r="803" ht="14.25" customHeight="1">
      <c r="A803" s="195"/>
      <c r="B803" s="195"/>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row>
    <row r="804" ht="14.25" customHeight="1">
      <c r="A804" s="195"/>
      <c r="B804" s="195"/>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row>
    <row r="805" ht="14.25" customHeight="1">
      <c r="A805" s="195"/>
      <c r="B805" s="195"/>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row>
    <row r="806" ht="14.25" customHeight="1">
      <c r="A806" s="195"/>
      <c r="B806" s="195"/>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row>
    <row r="807" ht="14.25" customHeight="1">
      <c r="A807" s="195"/>
      <c r="B807" s="195"/>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row>
    <row r="808" ht="14.25" customHeight="1">
      <c r="A808" s="195"/>
      <c r="B808" s="195"/>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row>
    <row r="809" ht="14.25" customHeight="1">
      <c r="A809" s="195"/>
      <c r="B809" s="195"/>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row>
    <row r="810" ht="14.25" customHeight="1">
      <c r="A810" s="195"/>
      <c r="B810" s="195"/>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row>
    <row r="811" ht="14.25" customHeight="1">
      <c r="A811" s="195"/>
      <c r="B811" s="195"/>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row>
    <row r="812" ht="14.25" customHeight="1">
      <c r="A812" s="195"/>
      <c r="B812" s="195"/>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row>
    <row r="813" ht="14.25" customHeight="1">
      <c r="A813" s="195"/>
      <c r="B813" s="195"/>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row>
    <row r="814" ht="14.25" customHeight="1">
      <c r="A814" s="195"/>
      <c r="B814" s="195"/>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row>
    <row r="815" ht="14.25" customHeight="1">
      <c r="A815" s="195"/>
      <c r="B815" s="195"/>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row>
    <row r="816" ht="14.25" customHeight="1">
      <c r="A816" s="195"/>
      <c r="B816" s="195"/>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row>
    <row r="817" ht="14.25" customHeight="1">
      <c r="A817" s="195"/>
      <c r="B817" s="195"/>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row>
    <row r="818" ht="14.25" customHeight="1">
      <c r="A818" s="195"/>
      <c r="B818" s="195"/>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row>
    <row r="819" ht="14.25" customHeight="1">
      <c r="A819" s="195"/>
      <c r="B819" s="195"/>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row>
    <row r="820" ht="14.25" customHeight="1">
      <c r="A820" s="195"/>
      <c r="B820" s="195"/>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row>
    <row r="821" ht="14.25" customHeight="1">
      <c r="A821" s="195"/>
      <c r="B821" s="195"/>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row>
    <row r="822" ht="14.25" customHeight="1">
      <c r="A822" s="195"/>
      <c r="B822" s="195"/>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row>
    <row r="823" ht="14.25" customHeight="1">
      <c r="A823" s="195"/>
      <c r="B823" s="195"/>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row>
    <row r="824" ht="14.25" customHeight="1">
      <c r="A824" s="195"/>
      <c r="B824" s="195"/>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row>
    <row r="825" ht="14.25" customHeight="1">
      <c r="A825" s="195"/>
      <c r="B825" s="195"/>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row>
    <row r="826" ht="14.25" customHeight="1">
      <c r="A826" s="195"/>
      <c r="B826" s="195"/>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row>
    <row r="827" ht="14.25" customHeight="1">
      <c r="A827" s="195"/>
      <c r="B827" s="195"/>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row>
    <row r="828" ht="14.25" customHeight="1">
      <c r="A828" s="195"/>
      <c r="B828" s="195"/>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row>
    <row r="829" ht="14.25" customHeight="1">
      <c r="A829" s="195"/>
      <c r="B829" s="195"/>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row>
    <row r="830" ht="14.25" customHeight="1">
      <c r="A830" s="195"/>
      <c r="B830" s="195"/>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row>
    <row r="831" ht="14.25" customHeight="1">
      <c r="A831" s="195"/>
      <c r="B831" s="195"/>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row>
    <row r="832" ht="14.25" customHeight="1">
      <c r="A832" s="195"/>
      <c r="B832" s="195"/>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row>
    <row r="833" ht="14.25" customHeight="1">
      <c r="A833" s="195"/>
      <c r="B833" s="195"/>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row>
    <row r="834" ht="14.25" customHeight="1">
      <c r="A834" s="195"/>
      <c r="B834" s="195"/>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row>
    <row r="835" ht="14.25" customHeight="1">
      <c r="A835" s="195"/>
      <c r="B835" s="195"/>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row>
    <row r="836" ht="14.25" customHeight="1">
      <c r="A836" s="195"/>
      <c r="B836" s="195"/>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row>
    <row r="837" ht="14.25" customHeight="1">
      <c r="A837" s="195"/>
      <c r="B837" s="195"/>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row>
    <row r="838" ht="14.25" customHeight="1">
      <c r="A838" s="195"/>
      <c r="B838" s="195"/>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row>
    <row r="839" ht="14.25" customHeight="1">
      <c r="A839" s="195"/>
      <c r="B839" s="195"/>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row>
    <row r="840" ht="14.25" customHeight="1">
      <c r="A840" s="195"/>
      <c r="B840" s="195"/>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row>
    <row r="841" ht="14.25" customHeight="1">
      <c r="A841" s="195"/>
      <c r="B841" s="195"/>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row>
    <row r="842" ht="14.25" customHeight="1">
      <c r="A842" s="195"/>
      <c r="B842" s="195"/>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row>
    <row r="843" ht="14.25" customHeight="1">
      <c r="A843" s="195"/>
      <c r="B843" s="195"/>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row>
    <row r="844" ht="14.25" customHeight="1">
      <c r="A844" s="195"/>
      <c r="B844" s="195"/>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row>
    <row r="845" ht="14.25" customHeight="1">
      <c r="A845" s="195"/>
      <c r="B845" s="195"/>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row>
    <row r="846" ht="14.25" customHeight="1">
      <c r="A846" s="195"/>
      <c r="B846" s="195"/>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row>
    <row r="847" ht="14.25" customHeight="1">
      <c r="A847" s="195"/>
      <c r="B847" s="195"/>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row>
    <row r="848" ht="14.25" customHeight="1">
      <c r="A848" s="195"/>
      <c r="B848" s="195"/>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row>
    <row r="849" ht="14.25" customHeight="1">
      <c r="A849" s="195"/>
      <c r="B849" s="195"/>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row>
    <row r="850" ht="14.25" customHeight="1">
      <c r="A850" s="195"/>
      <c r="B850" s="195"/>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row>
    <row r="851" ht="14.25" customHeight="1">
      <c r="A851" s="195"/>
      <c r="B851" s="195"/>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row>
    <row r="852" ht="14.25" customHeight="1">
      <c r="A852" s="195"/>
      <c r="B852" s="195"/>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row>
    <row r="853" ht="14.25" customHeight="1">
      <c r="A853" s="195"/>
      <c r="B853" s="195"/>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row>
    <row r="854" ht="14.25" customHeight="1">
      <c r="A854" s="195"/>
      <c r="B854" s="195"/>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row>
    <row r="855" ht="14.25" customHeight="1">
      <c r="A855" s="195"/>
      <c r="B855" s="195"/>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row>
    <row r="856" ht="14.25" customHeight="1">
      <c r="A856" s="195"/>
      <c r="B856" s="195"/>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row>
    <row r="857" ht="14.25" customHeight="1">
      <c r="A857" s="195"/>
      <c r="B857" s="195"/>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row>
    <row r="858" ht="14.25" customHeight="1">
      <c r="A858" s="195"/>
      <c r="B858" s="195"/>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row>
    <row r="859" ht="14.25" customHeight="1">
      <c r="A859" s="195"/>
      <c r="B859" s="195"/>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row>
    <row r="860" ht="14.25" customHeight="1">
      <c r="A860" s="195"/>
      <c r="B860" s="195"/>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row>
    <row r="861" ht="14.25" customHeight="1">
      <c r="A861" s="195"/>
      <c r="B861" s="195"/>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row>
    <row r="862" ht="14.25" customHeight="1">
      <c r="A862" s="195"/>
      <c r="B862" s="195"/>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row>
    <row r="863" ht="14.25" customHeight="1">
      <c r="A863" s="195"/>
      <c r="B863" s="195"/>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row>
    <row r="864" ht="14.25" customHeight="1">
      <c r="A864" s="195"/>
      <c r="B864" s="195"/>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row>
    <row r="865" ht="14.25" customHeight="1">
      <c r="A865" s="195"/>
      <c r="B865" s="195"/>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row>
    <row r="866" ht="14.25" customHeight="1">
      <c r="A866" s="195"/>
      <c r="B866" s="195"/>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row>
    <row r="867" ht="14.25" customHeight="1">
      <c r="A867" s="195"/>
      <c r="B867" s="195"/>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row>
    <row r="868" ht="14.25" customHeight="1">
      <c r="A868" s="195"/>
      <c r="B868" s="195"/>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row>
    <row r="869" ht="14.25" customHeight="1">
      <c r="A869" s="195"/>
      <c r="B869" s="195"/>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row>
    <row r="870" ht="14.25" customHeight="1">
      <c r="A870" s="195"/>
      <c r="B870" s="195"/>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row>
    <row r="871" ht="14.25" customHeight="1">
      <c r="A871" s="195"/>
      <c r="B871" s="195"/>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row>
    <row r="872" ht="14.25" customHeight="1">
      <c r="A872" s="195"/>
      <c r="B872" s="195"/>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row>
    <row r="873" ht="14.25" customHeight="1">
      <c r="A873" s="195"/>
      <c r="B873" s="195"/>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row>
    <row r="874" ht="14.25" customHeight="1">
      <c r="A874" s="195"/>
      <c r="B874" s="195"/>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row>
    <row r="875" ht="14.25" customHeight="1">
      <c r="A875" s="195"/>
      <c r="B875" s="195"/>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row>
    <row r="876" ht="14.25" customHeight="1">
      <c r="A876" s="195"/>
      <c r="B876" s="195"/>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row>
    <row r="877" ht="14.25" customHeight="1">
      <c r="A877" s="195"/>
      <c r="B877" s="195"/>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row>
    <row r="878" ht="14.25" customHeight="1">
      <c r="A878" s="195"/>
      <c r="B878" s="195"/>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row>
    <row r="879" ht="14.25" customHeight="1">
      <c r="A879" s="195"/>
      <c r="B879" s="195"/>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row>
    <row r="880" ht="14.25" customHeight="1">
      <c r="A880" s="195"/>
      <c r="B880" s="195"/>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row>
    <row r="881" ht="14.25" customHeight="1">
      <c r="A881" s="195"/>
      <c r="B881" s="195"/>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row>
    <row r="882" ht="14.25" customHeight="1">
      <c r="A882" s="195"/>
      <c r="B882" s="195"/>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row>
    <row r="883" ht="14.25" customHeight="1">
      <c r="A883" s="195"/>
      <c r="B883" s="195"/>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row>
    <row r="884" ht="14.25" customHeight="1">
      <c r="A884" s="195"/>
      <c r="B884" s="195"/>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row>
    <row r="885" ht="14.25" customHeight="1">
      <c r="A885" s="195"/>
      <c r="B885" s="195"/>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row>
    <row r="886" ht="14.25" customHeight="1">
      <c r="A886" s="195"/>
      <c r="B886" s="195"/>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row>
    <row r="887" ht="14.25" customHeight="1">
      <c r="A887" s="195"/>
      <c r="B887" s="195"/>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row>
    <row r="888" ht="14.25" customHeight="1">
      <c r="A888" s="195"/>
      <c r="B888" s="195"/>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row>
    <row r="889" ht="14.25" customHeight="1">
      <c r="A889" s="195"/>
      <c r="B889" s="195"/>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row>
    <row r="890" ht="14.25" customHeight="1">
      <c r="A890" s="195"/>
      <c r="B890" s="195"/>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row>
    <row r="891" ht="14.25" customHeight="1">
      <c r="A891" s="195"/>
      <c r="B891" s="195"/>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row>
    <row r="892" ht="14.25" customHeight="1">
      <c r="A892" s="195"/>
      <c r="B892" s="195"/>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row>
    <row r="893" ht="14.25" customHeight="1">
      <c r="A893" s="195"/>
      <c r="B893" s="195"/>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row>
    <row r="894" ht="14.25" customHeight="1">
      <c r="A894" s="195"/>
      <c r="B894" s="195"/>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row>
    <row r="895" ht="14.25" customHeight="1">
      <c r="A895" s="195"/>
      <c r="B895" s="195"/>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row>
    <row r="896" ht="14.25" customHeight="1">
      <c r="A896" s="195"/>
      <c r="B896" s="195"/>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row>
    <row r="897" ht="14.25" customHeight="1">
      <c r="A897" s="195"/>
      <c r="B897" s="195"/>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row>
    <row r="898" ht="14.25" customHeight="1">
      <c r="A898" s="195"/>
      <c r="B898" s="195"/>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row>
    <row r="899" ht="14.25" customHeight="1">
      <c r="A899" s="195"/>
      <c r="B899" s="195"/>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row>
    <row r="900" ht="14.25" customHeight="1">
      <c r="A900" s="195"/>
      <c r="B900" s="195"/>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row>
    <row r="901" ht="14.25" customHeight="1">
      <c r="A901" s="195"/>
      <c r="B901" s="195"/>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row>
    <row r="902" ht="14.25" customHeight="1">
      <c r="A902" s="195"/>
      <c r="B902" s="195"/>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row>
    <row r="903" ht="14.25" customHeight="1">
      <c r="A903" s="195"/>
      <c r="B903" s="195"/>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row>
    <row r="904" ht="14.25" customHeight="1">
      <c r="A904" s="195"/>
      <c r="B904" s="195"/>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row>
    <row r="905" ht="14.25" customHeight="1">
      <c r="A905" s="195"/>
      <c r="B905" s="195"/>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row>
    <row r="906" ht="14.25" customHeight="1">
      <c r="A906" s="195"/>
      <c r="B906" s="195"/>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row>
    <row r="907" ht="14.25" customHeight="1">
      <c r="A907" s="195"/>
      <c r="B907" s="195"/>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row>
    <row r="908" ht="14.25" customHeight="1">
      <c r="A908" s="195"/>
      <c r="B908" s="195"/>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row>
    <row r="909" ht="14.25" customHeight="1">
      <c r="A909" s="195"/>
      <c r="B909" s="195"/>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row>
    <row r="910" ht="14.25" customHeight="1">
      <c r="A910" s="195"/>
      <c r="B910" s="195"/>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row>
    <row r="911" ht="14.25" customHeight="1">
      <c r="A911" s="195"/>
      <c r="B911" s="195"/>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row>
    <row r="912" ht="14.25" customHeight="1">
      <c r="A912" s="195"/>
      <c r="B912" s="195"/>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row>
    <row r="913" ht="14.25" customHeight="1">
      <c r="A913" s="195"/>
      <c r="B913" s="195"/>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row>
    <row r="914" ht="14.25" customHeight="1">
      <c r="A914" s="195"/>
      <c r="B914" s="195"/>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row>
    <row r="915" ht="14.25" customHeight="1">
      <c r="A915" s="195"/>
      <c r="B915" s="195"/>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row>
    <row r="916" ht="14.25" customHeight="1">
      <c r="A916" s="195"/>
      <c r="B916" s="195"/>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row>
    <row r="917" ht="14.25" customHeight="1">
      <c r="A917" s="195"/>
      <c r="B917" s="195"/>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row>
    <row r="918" ht="14.25" customHeight="1">
      <c r="A918" s="195"/>
      <c r="B918" s="195"/>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row>
    <row r="919" ht="14.25" customHeight="1">
      <c r="A919" s="195"/>
      <c r="B919" s="195"/>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row>
    <row r="920" ht="14.25" customHeight="1">
      <c r="A920" s="195"/>
      <c r="B920" s="195"/>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row>
    <row r="921" ht="14.25" customHeight="1">
      <c r="A921" s="195"/>
      <c r="B921" s="195"/>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row>
    <row r="922" ht="14.25" customHeight="1">
      <c r="A922" s="195"/>
      <c r="B922" s="195"/>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row>
    <row r="923" ht="14.25" customHeight="1">
      <c r="A923" s="195"/>
      <c r="B923" s="195"/>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row>
    <row r="924" ht="14.25" customHeight="1">
      <c r="A924" s="195"/>
      <c r="B924" s="195"/>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row>
    <row r="925" ht="14.25" customHeight="1">
      <c r="A925" s="195"/>
      <c r="B925" s="195"/>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row>
    <row r="926" ht="14.25" customHeight="1">
      <c r="A926" s="195"/>
      <c r="B926" s="195"/>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row>
    <row r="927" ht="14.25" customHeight="1">
      <c r="A927" s="195"/>
      <c r="B927" s="195"/>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row>
    <row r="928" ht="14.25" customHeight="1">
      <c r="A928" s="195"/>
      <c r="B928" s="195"/>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row>
    <row r="929" ht="14.25" customHeight="1">
      <c r="A929" s="195"/>
      <c r="B929" s="195"/>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row>
    <row r="930" ht="14.25" customHeight="1">
      <c r="A930" s="195"/>
      <c r="B930" s="195"/>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row>
    <row r="931" ht="14.25" customHeight="1">
      <c r="A931" s="195"/>
      <c r="B931" s="195"/>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row>
    <row r="932" ht="14.25" customHeight="1">
      <c r="A932" s="195"/>
      <c r="B932" s="195"/>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row>
    <row r="933" ht="14.25" customHeight="1">
      <c r="A933" s="195"/>
      <c r="B933" s="195"/>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row>
    <row r="934" ht="14.25" customHeight="1">
      <c r="A934" s="195"/>
      <c r="B934" s="195"/>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row>
    <row r="935" ht="14.25" customHeight="1">
      <c r="A935" s="195"/>
      <c r="B935" s="195"/>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row>
    <row r="936" ht="14.25" customHeight="1">
      <c r="A936" s="195"/>
      <c r="B936" s="195"/>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row>
    <row r="937" ht="14.25" customHeight="1">
      <c r="A937" s="195"/>
      <c r="B937" s="195"/>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row>
    <row r="938" ht="14.25" customHeight="1">
      <c r="A938" s="195"/>
      <c r="B938" s="195"/>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row>
    <row r="939" ht="14.25" customHeight="1">
      <c r="A939" s="195"/>
      <c r="B939" s="195"/>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row>
    <row r="940" ht="14.25" customHeight="1">
      <c r="A940" s="195"/>
      <c r="B940" s="195"/>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row>
    <row r="941" ht="14.25" customHeight="1">
      <c r="A941" s="195"/>
      <c r="B941" s="195"/>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row>
    <row r="942" ht="14.25" customHeight="1">
      <c r="A942" s="195"/>
      <c r="B942" s="195"/>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row>
    <row r="943" ht="14.25" customHeight="1">
      <c r="A943" s="195"/>
      <c r="B943" s="195"/>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row>
    <row r="944" ht="14.25" customHeight="1">
      <c r="A944" s="195"/>
      <c r="B944" s="195"/>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row>
    <row r="945" ht="14.25" customHeight="1">
      <c r="A945" s="195"/>
      <c r="B945" s="195"/>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row>
    <row r="946" ht="14.25" customHeight="1">
      <c r="A946" s="195"/>
      <c r="B946" s="195"/>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row>
    <row r="947" ht="14.25" customHeight="1">
      <c r="A947" s="195"/>
      <c r="B947" s="195"/>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row>
    <row r="948" ht="14.25" customHeight="1">
      <c r="A948" s="195"/>
      <c r="B948" s="195"/>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row>
    <row r="949" ht="14.25" customHeight="1">
      <c r="A949" s="195"/>
      <c r="B949" s="195"/>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row>
    <row r="950" ht="14.25" customHeight="1">
      <c r="A950" s="195"/>
      <c r="B950" s="195"/>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row>
    <row r="951" ht="14.25" customHeight="1">
      <c r="A951" s="195"/>
      <c r="B951" s="195"/>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row>
    <row r="952" ht="14.25" customHeight="1">
      <c r="A952" s="195"/>
      <c r="B952" s="195"/>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row>
    <row r="953" ht="14.25" customHeight="1">
      <c r="A953" s="195"/>
      <c r="B953" s="195"/>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row>
    <row r="954" ht="14.25" customHeight="1">
      <c r="A954" s="195"/>
      <c r="B954" s="195"/>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row>
    <row r="955" ht="14.25" customHeight="1">
      <c r="A955" s="195"/>
      <c r="B955" s="195"/>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row>
    <row r="956" ht="14.25" customHeight="1">
      <c r="A956" s="195"/>
      <c r="B956" s="195"/>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row>
    <row r="957" ht="14.25" customHeight="1">
      <c r="A957" s="195"/>
      <c r="B957" s="195"/>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row>
    <row r="958" ht="14.25" customHeight="1">
      <c r="A958" s="195"/>
      <c r="B958" s="195"/>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row>
    <row r="959" ht="14.25" customHeight="1">
      <c r="A959" s="195"/>
      <c r="B959" s="195"/>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row>
    <row r="960" ht="14.25" customHeight="1">
      <c r="A960" s="195"/>
      <c r="B960" s="195"/>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row>
    <row r="961" ht="14.25" customHeight="1">
      <c r="A961" s="195"/>
      <c r="B961" s="195"/>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row>
    <row r="962" ht="14.25" customHeight="1">
      <c r="A962" s="195"/>
      <c r="B962" s="195"/>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row>
    <row r="963" ht="14.25" customHeight="1">
      <c r="A963" s="195"/>
      <c r="B963" s="195"/>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row>
    <row r="964" ht="14.25" customHeight="1">
      <c r="A964" s="195"/>
      <c r="B964" s="195"/>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row>
    <row r="965" ht="14.25" customHeight="1">
      <c r="A965" s="195"/>
      <c r="B965" s="195"/>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row>
    <row r="966" ht="14.25" customHeight="1">
      <c r="A966" s="195"/>
      <c r="B966" s="195"/>
      <c r="C966" s="195"/>
      <c r="D966" s="195"/>
      <c r="E966" s="195"/>
      <c r="F966" s="195"/>
      <c r="G966" s="195"/>
      <c r="H966" s="195"/>
      <c r="I966" s="195"/>
      <c r="J966" s="195"/>
      <c r="K966" s="195"/>
      <c r="L966" s="195"/>
      <c r="M966" s="195"/>
      <c r="N966" s="195"/>
      <c r="O966" s="195"/>
      <c r="P966" s="195"/>
      <c r="Q966" s="195"/>
      <c r="R966" s="195"/>
      <c r="S966" s="195"/>
      <c r="T966" s="195"/>
      <c r="U966" s="195"/>
      <c r="V966" s="195"/>
      <c r="W966" s="195"/>
      <c r="X966" s="195"/>
      <c r="Y966" s="195"/>
      <c r="Z966" s="195"/>
    </row>
    <row r="967" ht="14.25" customHeight="1">
      <c r="A967" s="195"/>
      <c r="B967" s="195"/>
      <c r="C967" s="195"/>
      <c r="D967" s="195"/>
      <c r="E967" s="195"/>
      <c r="F967" s="195"/>
      <c r="G967" s="195"/>
      <c r="H967" s="195"/>
      <c r="I967" s="195"/>
      <c r="J967" s="195"/>
      <c r="K967" s="195"/>
      <c r="L967" s="195"/>
      <c r="M967" s="195"/>
      <c r="N967" s="195"/>
      <c r="O967" s="195"/>
      <c r="P967" s="195"/>
      <c r="Q967" s="195"/>
      <c r="R967" s="195"/>
      <c r="S967" s="195"/>
      <c r="T967" s="195"/>
      <c r="U967" s="195"/>
      <c r="V967" s="195"/>
      <c r="W967" s="195"/>
      <c r="X967" s="195"/>
      <c r="Y967" s="195"/>
      <c r="Z967" s="195"/>
    </row>
    <row r="968" ht="14.25" customHeight="1">
      <c r="A968" s="195"/>
      <c r="B968" s="195"/>
      <c r="C968" s="195"/>
      <c r="D968" s="195"/>
      <c r="E968" s="195"/>
      <c r="F968" s="195"/>
      <c r="G968" s="195"/>
      <c r="H968" s="195"/>
      <c r="I968" s="195"/>
      <c r="J968" s="195"/>
      <c r="K968" s="195"/>
      <c r="L968" s="195"/>
      <c r="M968" s="195"/>
      <c r="N968" s="195"/>
      <c r="O968" s="195"/>
      <c r="P968" s="195"/>
      <c r="Q968" s="195"/>
      <c r="R968" s="195"/>
      <c r="S968" s="195"/>
      <c r="T968" s="195"/>
      <c r="U968" s="195"/>
      <c r="V968" s="195"/>
      <c r="W968" s="195"/>
      <c r="X968" s="195"/>
      <c r="Y968" s="195"/>
      <c r="Z968" s="195"/>
    </row>
    <row r="969" ht="14.25" customHeight="1">
      <c r="A969" s="195"/>
      <c r="B969" s="195"/>
      <c r="C969" s="195"/>
      <c r="D969" s="195"/>
      <c r="E969" s="195"/>
      <c r="F969" s="195"/>
      <c r="G969" s="195"/>
      <c r="H969" s="195"/>
      <c r="I969" s="195"/>
      <c r="J969" s="195"/>
      <c r="K969" s="195"/>
      <c r="L969" s="195"/>
      <c r="M969" s="195"/>
      <c r="N969" s="195"/>
      <c r="O969" s="195"/>
      <c r="P969" s="195"/>
      <c r="Q969" s="195"/>
      <c r="R969" s="195"/>
      <c r="S969" s="195"/>
      <c r="T969" s="195"/>
      <c r="U969" s="195"/>
      <c r="V969" s="195"/>
      <c r="W969" s="195"/>
      <c r="X969" s="195"/>
      <c r="Y969" s="195"/>
      <c r="Z969" s="195"/>
    </row>
    <row r="970" ht="14.25" customHeight="1">
      <c r="A970" s="195"/>
      <c r="B970" s="195"/>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row>
    <row r="971" ht="14.25" customHeight="1">
      <c r="A971" s="195"/>
      <c r="B971" s="195"/>
      <c r="C971" s="195"/>
      <c r="D971" s="195"/>
      <c r="E971" s="195"/>
      <c r="F971" s="195"/>
      <c r="G971" s="195"/>
      <c r="H971" s="195"/>
      <c r="I971" s="195"/>
      <c r="J971" s="195"/>
      <c r="K971" s="195"/>
      <c r="L971" s="195"/>
      <c r="M971" s="195"/>
      <c r="N971" s="195"/>
      <c r="O971" s="195"/>
      <c r="P971" s="195"/>
      <c r="Q971" s="195"/>
      <c r="R971" s="195"/>
      <c r="S971" s="195"/>
      <c r="T971" s="195"/>
      <c r="U971" s="195"/>
      <c r="V971" s="195"/>
      <c r="W971" s="195"/>
      <c r="X971" s="195"/>
      <c r="Y971" s="195"/>
      <c r="Z971" s="195"/>
    </row>
    <row r="972" ht="14.25" customHeight="1">
      <c r="A972" s="195"/>
      <c r="B972" s="195"/>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row>
    <row r="973" ht="14.25" customHeight="1">
      <c r="A973" s="195"/>
      <c r="B973" s="195"/>
      <c r="C973" s="195"/>
      <c r="D973" s="195"/>
      <c r="E973" s="195"/>
      <c r="F973" s="195"/>
      <c r="G973" s="195"/>
      <c r="H973" s="195"/>
      <c r="I973" s="195"/>
      <c r="J973" s="195"/>
      <c r="K973" s="195"/>
      <c r="L973" s="195"/>
      <c r="M973" s="195"/>
      <c r="N973" s="195"/>
      <c r="O973" s="195"/>
      <c r="P973" s="195"/>
      <c r="Q973" s="195"/>
      <c r="R973" s="195"/>
      <c r="S973" s="195"/>
      <c r="T973" s="195"/>
      <c r="U973" s="195"/>
      <c r="V973" s="195"/>
      <c r="W973" s="195"/>
      <c r="X973" s="195"/>
      <c r="Y973" s="195"/>
      <c r="Z973" s="195"/>
    </row>
    <row r="974" ht="14.25" customHeight="1">
      <c r="A974" s="195"/>
      <c r="B974" s="195"/>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row>
    <row r="975" ht="14.25" customHeight="1">
      <c r="A975" s="195"/>
      <c r="B975" s="195"/>
      <c r="C975" s="195"/>
      <c r="D975" s="195"/>
      <c r="E975" s="195"/>
      <c r="F975" s="195"/>
      <c r="G975" s="195"/>
      <c r="H975" s="195"/>
      <c r="I975" s="195"/>
      <c r="J975" s="195"/>
      <c r="K975" s="195"/>
      <c r="L975" s="195"/>
      <c r="M975" s="195"/>
      <c r="N975" s="195"/>
      <c r="O975" s="195"/>
      <c r="P975" s="195"/>
      <c r="Q975" s="195"/>
      <c r="R975" s="195"/>
      <c r="S975" s="195"/>
      <c r="T975" s="195"/>
      <c r="U975" s="195"/>
      <c r="V975" s="195"/>
      <c r="W975" s="195"/>
      <c r="X975" s="195"/>
      <c r="Y975" s="195"/>
      <c r="Z975" s="195"/>
    </row>
    <row r="976" ht="14.25" customHeight="1">
      <c r="A976" s="195"/>
      <c r="B976" s="195"/>
      <c r="C976" s="195"/>
      <c r="D976" s="195"/>
      <c r="E976" s="195"/>
      <c r="F976" s="195"/>
      <c r="G976" s="195"/>
      <c r="H976" s="195"/>
      <c r="I976" s="195"/>
      <c r="J976" s="195"/>
      <c r="K976" s="195"/>
      <c r="L976" s="195"/>
      <c r="M976" s="195"/>
      <c r="N976" s="195"/>
      <c r="O976" s="195"/>
      <c r="P976" s="195"/>
      <c r="Q976" s="195"/>
      <c r="R976" s="195"/>
      <c r="S976" s="195"/>
      <c r="T976" s="195"/>
      <c r="U976" s="195"/>
      <c r="V976" s="195"/>
      <c r="W976" s="195"/>
      <c r="X976" s="195"/>
      <c r="Y976" s="195"/>
      <c r="Z976" s="195"/>
    </row>
    <row r="977" ht="14.25" customHeight="1">
      <c r="A977" s="195"/>
      <c r="B977" s="195"/>
      <c r="C977" s="195"/>
      <c r="D977" s="195"/>
      <c r="E977" s="195"/>
      <c r="F977" s="195"/>
      <c r="G977" s="195"/>
      <c r="H977" s="195"/>
      <c r="I977" s="195"/>
      <c r="J977" s="195"/>
      <c r="K977" s="195"/>
      <c r="L977" s="195"/>
      <c r="M977" s="195"/>
      <c r="N977" s="195"/>
      <c r="O977" s="195"/>
      <c r="P977" s="195"/>
      <c r="Q977" s="195"/>
      <c r="R977" s="195"/>
      <c r="S977" s="195"/>
      <c r="T977" s="195"/>
      <c r="U977" s="195"/>
      <c r="V977" s="195"/>
      <c r="W977" s="195"/>
      <c r="X977" s="195"/>
      <c r="Y977" s="195"/>
      <c r="Z977" s="195"/>
    </row>
    <row r="978" ht="14.25" customHeight="1">
      <c r="A978" s="195"/>
      <c r="B978" s="195"/>
      <c r="C978" s="195"/>
      <c r="D978" s="195"/>
      <c r="E978" s="195"/>
      <c r="F978" s="195"/>
      <c r="G978" s="195"/>
      <c r="H978" s="195"/>
      <c r="I978" s="195"/>
      <c r="J978" s="195"/>
      <c r="K978" s="195"/>
      <c r="L978" s="195"/>
      <c r="M978" s="195"/>
      <c r="N978" s="195"/>
      <c r="O978" s="195"/>
      <c r="P978" s="195"/>
      <c r="Q978" s="195"/>
      <c r="R978" s="195"/>
      <c r="S978" s="195"/>
      <c r="T978" s="195"/>
      <c r="U978" s="195"/>
      <c r="V978" s="195"/>
      <c r="W978" s="195"/>
      <c r="X978" s="195"/>
      <c r="Y978" s="195"/>
      <c r="Z978" s="195"/>
    </row>
    <row r="979" ht="14.25" customHeight="1">
      <c r="A979" s="195"/>
      <c r="B979" s="195"/>
      <c r="C979" s="195"/>
      <c r="D979" s="195"/>
      <c r="E979" s="195"/>
      <c r="F979" s="195"/>
      <c r="G979" s="195"/>
      <c r="H979" s="195"/>
      <c r="I979" s="195"/>
      <c r="J979" s="195"/>
      <c r="K979" s="195"/>
      <c r="L979" s="195"/>
      <c r="M979" s="195"/>
      <c r="N979" s="195"/>
      <c r="O979" s="195"/>
      <c r="P979" s="195"/>
      <c r="Q979" s="195"/>
      <c r="R979" s="195"/>
      <c r="S979" s="195"/>
      <c r="T979" s="195"/>
      <c r="U979" s="195"/>
      <c r="V979" s="195"/>
      <c r="W979" s="195"/>
      <c r="X979" s="195"/>
      <c r="Y979" s="195"/>
      <c r="Z979" s="195"/>
    </row>
    <row r="980" ht="14.25" customHeight="1">
      <c r="A980" s="195"/>
      <c r="B980" s="195"/>
      <c r="C980" s="195"/>
      <c r="D980" s="195"/>
      <c r="E980" s="195"/>
      <c r="F980" s="195"/>
      <c r="G980" s="195"/>
      <c r="H980" s="195"/>
      <c r="I980" s="195"/>
      <c r="J980" s="195"/>
      <c r="K980" s="195"/>
      <c r="L980" s="195"/>
      <c r="M980" s="195"/>
      <c r="N980" s="195"/>
      <c r="O980" s="195"/>
      <c r="P980" s="195"/>
      <c r="Q980" s="195"/>
      <c r="R980" s="195"/>
      <c r="S980" s="195"/>
      <c r="T980" s="195"/>
      <c r="U980" s="195"/>
      <c r="V980" s="195"/>
      <c r="W980" s="195"/>
      <c r="X980" s="195"/>
      <c r="Y980" s="195"/>
      <c r="Z980" s="195"/>
    </row>
    <row r="981" ht="14.25" customHeight="1">
      <c r="A981" s="195"/>
      <c r="B981" s="195"/>
      <c r="C981" s="195"/>
      <c r="D981" s="195"/>
      <c r="E981" s="195"/>
      <c r="F981" s="195"/>
      <c r="G981" s="195"/>
      <c r="H981" s="195"/>
      <c r="I981" s="195"/>
      <c r="J981" s="195"/>
      <c r="K981" s="195"/>
      <c r="L981" s="195"/>
      <c r="M981" s="195"/>
      <c r="N981" s="195"/>
      <c r="O981" s="195"/>
      <c r="P981" s="195"/>
      <c r="Q981" s="195"/>
      <c r="R981" s="195"/>
      <c r="S981" s="195"/>
      <c r="T981" s="195"/>
      <c r="U981" s="195"/>
      <c r="V981" s="195"/>
      <c r="W981" s="195"/>
      <c r="X981" s="195"/>
      <c r="Y981" s="195"/>
      <c r="Z981" s="195"/>
    </row>
    <row r="982" ht="14.25" customHeight="1">
      <c r="A982" s="195"/>
      <c r="B982" s="195"/>
      <c r="C982" s="195"/>
      <c r="D982" s="195"/>
      <c r="E982" s="195"/>
      <c r="F982" s="195"/>
      <c r="G982" s="195"/>
      <c r="H982" s="195"/>
      <c r="I982" s="195"/>
      <c r="J982" s="195"/>
      <c r="K982" s="195"/>
      <c r="L982" s="195"/>
      <c r="M982" s="195"/>
      <c r="N982" s="195"/>
      <c r="O982" s="195"/>
      <c r="P982" s="195"/>
      <c r="Q982" s="195"/>
      <c r="R982" s="195"/>
      <c r="S982" s="195"/>
      <c r="T982" s="195"/>
      <c r="U982" s="195"/>
      <c r="V982" s="195"/>
      <c r="W982" s="195"/>
      <c r="X982" s="195"/>
      <c r="Y982" s="195"/>
      <c r="Z982" s="195"/>
    </row>
    <row r="983" ht="14.25" customHeight="1">
      <c r="A983" s="195"/>
      <c r="B983" s="195"/>
      <c r="C983" s="195"/>
      <c r="D983" s="195"/>
      <c r="E983" s="195"/>
      <c r="F983" s="195"/>
      <c r="G983" s="195"/>
      <c r="H983" s="195"/>
      <c r="I983" s="195"/>
      <c r="J983" s="195"/>
      <c r="K983" s="195"/>
      <c r="L983" s="195"/>
      <c r="M983" s="195"/>
      <c r="N983" s="195"/>
      <c r="O983" s="195"/>
      <c r="P983" s="195"/>
      <c r="Q983" s="195"/>
      <c r="R983" s="195"/>
      <c r="S983" s="195"/>
      <c r="T983" s="195"/>
      <c r="U983" s="195"/>
      <c r="V983" s="195"/>
      <c r="W983" s="195"/>
      <c r="X983" s="195"/>
      <c r="Y983" s="195"/>
      <c r="Z983" s="195"/>
    </row>
    <row r="984" ht="14.25" customHeight="1">
      <c r="A984" s="195"/>
      <c r="B984" s="195"/>
      <c r="C984" s="195"/>
      <c r="D984" s="195"/>
      <c r="E984" s="195"/>
      <c r="F984" s="195"/>
      <c r="G984" s="195"/>
      <c r="H984" s="195"/>
      <c r="I984" s="195"/>
      <c r="J984" s="195"/>
      <c r="K984" s="195"/>
      <c r="L984" s="195"/>
      <c r="M984" s="195"/>
      <c r="N984" s="195"/>
      <c r="O984" s="195"/>
      <c r="P984" s="195"/>
      <c r="Q984" s="195"/>
      <c r="R984" s="195"/>
      <c r="S984" s="195"/>
      <c r="T984" s="195"/>
      <c r="U984" s="195"/>
      <c r="V984" s="195"/>
      <c r="W984" s="195"/>
      <c r="X984" s="195"/>
      <c r="Y984" s="195"/>
      <c r="Z984" s="195"/>
    </row>
    <row r="985" ht="14.25" customHeight="1">
      <c r="A985" s="195"/>
      <c r="B985" s="195"/>
      <c r="C985" s="195"/>
      <c r="D985" s="195"/>
      <c r="E985" s="195"/>
      <c r="F985" s="195"/>
      <c r="G985" s="195"/>
      <c r="H985" s="195"/>
      <c r="I985" s="195"/>
      <c r="J985" s="195"/>
      <c r="K985" s="195"/>
      <c r="L985" s="195"/>
      <c r="M985" s="195"/>
      <c r="N985" s="195"/>
      <c r="O985" s="195"/>
      <c r="P985" s="195"/>
      <c r="Q985" s="195"/>
      <c r="R985" s="195"/>
      <c r="S985" s="195"/>
      <c r="T985" s="195"/>
      <c r="U985" s="195"/>
      <c r="V985" s="195"/>
      <c r="W985" s="195"/>
      <c r="X985" s="195"/>
      <c r="Y985" s="195"/>
      <c r="Z985" s="195"/>
    </row>
    <row r="986" ht="14.25" customHeight="1">
      <c r="A986" s="195"/>
      <c r="B986" s="195"/>
      <c r="C986" s="195"/>
      <c r="D986" s="195"/>
      <c r="E986" s="195"/>
      <c r="F986" s="195"/>
      <c r="G986" s="195"/>
      <c r="H986" s="195"/>
      <c r="I986" s="195"/>
      <c r="J986" s="195"/>
      <c r="K986" s="195"/>
      <c r="L986" s="195"/>
      <c r="M986" s="195"/>
      <c r="N986" s="195"/>
      <c r="O986" s="195"/>
      <c r="P986" s="195"/>
      <c r="Q986" s="195"/>
      <c r="R986" s="195"/>
      <c r="S986" s="195"/>
      <c r="T986" s="195"/>
      <c r="U986" s="195"/>
      <c r="V986" s="195"/>
      <c r="W986" s="195"/>
      <c r="X986" s="195"/>
      <c r="Y986" s="195"/>
      <c r="Z986" s="195"/>
    </row>
    <row r="987" ht="14.25" customHeight="1">
      <c r="A987" s="195"/>
      <c r="B987" s="195"/>
      <c r="C987" s="195"/>
      <c r="D987" s="195"/>
      <c r="E987" s="195"/>
      <c r="F987" s="195"/>
      <c r="G987" s="195"/>
      <c r="H987" s="195"/>
      <c r="I987" s="195"/>
      <c r="J987" s="195"/>
      <c r="K987" s="195"/>
      <c r="L987" s="195"/>
      <c r="M987" s="195"/>
      <c r="N987" s="195"/>
      <c r="O987" s="195"/>
      <c r="P987" s="195"/>
      <c r="Q987" s="195"/>
      <c r="R987" s="195"/>
      <c r="S987" s="195"/>
      <c r="T987" s="195"/>
      <c r="U987" s="195"/>
      <c r="V987" s="195"/>
      <c r="W987" s="195"/>
      <c r="X987" s="195"/>
      <c r="Y987" s="195"/>
      <c r="Z987" s="195"/>
    </row>
    <row r="988" ht="14.25" customHeight="1">
      <c r="A988" s="195"/>
      <c r="B988" s="195"/>
      <c r="C988" s="195"/>
      <c r="D988" s="195"/>
      <c r="E988" s="195"/>
      <c r="F988" s="195"/>
      <c r="G988" s="195"/>
      <c r="H988" s="195"/>
      <c r="I988" s="195"/>
      <c r="J988" s="195"/>
      <c r="K988" s="195"/>
      <c r="L988" s="195"/>
      <c r="M988" s="195"/>
      <c r="N988" s="195"/>
      <c r="O988" s="195"/>
      <c r="P988" s="195"/>
      <c r="Q988" s="195"/>
      <c r="R988" s="195"/>
      <c r="S988" s="195"/>
      <c r="T988" s="195"/>
      <c r="U988" s="195"/>
      <c r="V988" s="195"/>
      <c r="W988" s="195"/>
      <c r="X988" s="195"/>
      <c r="Y988" s="195"/>
      <c r="Z988" s="195"/>
    </row>
    <row r="989" ht="14.25" customHeight="1">
      <c r="A989" s="195"/>
      <c r="B989" s="195"/>
      <c r="C989" s="195"/>
      <c r="D989" s="195"/>
      <c r="E989" s="195"/>
      <c r="F989" s="195"/>
      <c r="G989" s="195"/>
      <c r="H989" s="195"/>
      <c r="I989" s="195"/>
      <c r="J989" s="195"/>
      <c r="K989" s="195"/>
      <c r="L989" s="195"/>
      <c r="M989" s="195"/>
      <c r="N989" s="195"/>
      <c r="O989" s="195"/>
      <c r="P989" s="195"/>
      <c r="Q989" s="195"/>
      <c r="R989" s="195"/>
      <c r="S989" s="195"/>
      <c r="T989" s="195"/>
      <c r="U989" s="195"/>
      <c r="V989" s="195"/>
      <c r="W989" s="195"/>
      <c r="X989" s="195"/>
      <c r="Y989" s="195"/>
      <c r="Z989" s="195"/>
    </row>
    <row r="990" ht="14.25" customHeight="1">
      <c r="A990" s="195"/>
      <c r="B990" s="195"/>
      <c r="C990" s="195"/>
      <c r="D990" s="195"/>
      <c r="E990" s="195"/>
      <c r="F990" s="195"/>
      <c r="G990" s="195"/>
      <c r="H990" s="195"/>
      <c r="I990" s="195"/>
      <c r="J990" s="195"/>
      <c r="K990" s="195"/>
      <c r="L990" s="195"/>
      <c r="M990" s="195"/>
      <c r="N990" s="195"/>
      <c r="O990" s="195"/>
      <c r="P990" s="195"/>
      <c r="Q990" s="195"/>
      <c r="R990" s="195"/>
      <c r="S990" s="195"/>
      <c r="T990" s="195"/>
      <c r="U990" s="195"/>
      <c r="V990" s="195"/>
      <c r="W990" s="195"/>
      <c r="X990" s="195"/>
      <c r="Y990" s="195"/>
      <c r="Z990" s="195"/>
    </row>
    <row r="991" ht="14.25" customHeight="1">
      <c r="A991" s="195"/>
      <c r="B991" s="195"/>
      <c r="C991" s="195"/>
      <c r="D991" s="195"/>
      <c r="E991" s="195"/>
      <c r="F991" s="195"/>
      <c r="G991" s="195"/>
      <c r="H991" s="195"/>
      <c r="I991" s="195"/>
      <c r="J991" s="195"/>
      <c r="K991" s="195"/>
      <c r="L991" s="195"/>
      <c r="M991" s="195"/>
      <c r="N991" s="195"/>
      <c r="O991" s="195"/>
      <c r="P991" s="195"/>
      <c r="Q991" s="195"/>
      <c r="R991" s="195"/>
      <c r="S991" s="195"/>
      <c r="T991" s="195"/>
      <c r="U991" s="195"/>
      <c r="V991" s="195"/>
      <c r="W991" s="195"/>
      <c r="X991" s="195"/>
      <c r="Y991" s="195"/>
      <c r="Z991" s="195"/>
    </row>
    <row r="992" ht="14.25" customHeight="1">
      <c r="A992" s="195"/>
      <c r="B992" s="195"/>
      <c r="C992" s="195"/>
      <c r="D992" s="195"/>
      <c r="E992" s="195"/>
      <c r="F992" s="195"/>
      <c r="G992" s="195"/>
      <c r="H992" s="195"/>
      <c r="I992" s="195"/>
      <c r="J992" s="195"/>
      <c r="K992" s="195"/>
      <c r="L992" s="195"/>
      <c r="M992" s="195"/>
      <c r="N992" s="195"/>
      <c r="O992" s="195"/>
      <c r="P992" s="195"/>
      <c r="Q992" s="195"/>
      <c r="R992" s="195"/>
      <c r="S992" s="195"/>
      <c r="T992" s="195"/>
      <c r="U992" s="195"/>
      <c r="V992" s="195"/>
      <c r="W992" s="195"/>
      <c r="X992" s="195"/>
      <c r="Y992" s="195"/>
      <c r="Z992" s="195"/>
    </row>
    <row r="993" ht="14.25" customHeight="1">
      <c r="A993" s="195"/>
      <c r="B993" s="195"/>
      <c r="C993" s="195"/>
      <c r="D993" s="195"/>
      <c r="E993" s="195"/>
      <c r="F993" s="195"/>
      <c r="G993" s="195"/>
      <c r="H993" s="195"/>
      <c r="I993" s="195"/>
      <c r="J993" s="195"/>
      <c r="K993" s="195"/>
      <c r="L993" s="195"/>
      <c r="M993" s="195"/>
      <c r="N993" s="195"/>
      <c r="O993" s="195"/>
      <c r="P993" s="195"/>
      <c r="Q993" s="195"/>
      <c r="R993" s="195"/>
      <c r="S993" s="195"/>
      <c r="T993" s="195"/>
      <c r="U993" s="195"/>
      <c r="V993" s="195"/>
      <c r="W993" s="195"/>
      <c r="X993" s="195"/>
      <c r="Y993" s="195"/>
      <c r="Z993" s="195"/>
    </row>
    <row r="994" ht="14.25" customHeight="1">
      <c r="A994" s="195"/>
      <c r="B994" s="195"/>
      <c r="C994" s="195"/>
      <c r="D994" s="195"/>
      <c r="E994" s="195"/>
      <c r="F994" s="195"/>
      <c r="G994" s="195"/>
      <c r="H994" s="195"/>
      <c r="I994" s="195"/>
      <c r="J994" s="195"/>
      <c r="K994" s="195"/>
      <c r="L994" s="195"/>
      <c r="M994" s="195"/>
      <c r="N994" s="195"/>
      <c r="O994" s="195"/>
      <c r="P994" s="195"/>
      <c r="Q994" s="195"/>
      <c r="R994" s="195"/>
      <c r="S994" s="195"/>
      <c r="T994" s="195"/>
      <c r="U994" s="195"/>
      <c r="V994" s="195"/>
      <c r="W994" s="195"/>
      <c r="X994" s="195"/>
      <c r="Y994" s="195"/>
      <c r="Z994" s="195"/>
    </row>
    <row r="995" ht="14.25" customHeight="1">
      <c r="A995" s="195"/>
      <c r="B995" s="195"/>
      <c r="C995" s="195"/>
      <c r="D995" s="195"/>
      <c r="E995" s="195"/>
      <c r="F995" s="195"/>
      <c r="G995" s="195"/>
      <c r="H995" s="195"/>
      <c r="I995" s="195"/>
      <c r="J995" s="195"/>
      <c r="K995" s="195"/>
      <c r="L995" s="195"/>
      <c r="M995" s="195"/>
      <c r="N995" s="195"/>
      <c r="O995" s="195"/>
      <c r="P995" s="195"/>
      <c r="Q995" s="195"/>
      <c r="R995" s="195"/>
      <c r="S995" s="195"/>
      <c r="T995" s="195"/>
      <c r="U995" s="195"/>
      <c r="V995" s="195"/>
      <c r="W995" s="195"/>
      <c r="X995" s="195"/>
      <c r="Y995" s="195"/>
      <c r="Z995" s="195"/>
    </row>
    <row r="996" ht="14.25" customHeight="1">
      <c r="A996" s="195"/>
      <c r="B996" s="195"/>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row>
    <row r="997" ht="14.25" customHeight="1">
      <c r="A997" s="195"/>
      <c r="B997" s="195"/>
      <c r="C997" s="195"/>
      <c r="D997" s="195"/>
      <c r="E997" s="195"/>
      <c r="F997" s="195"/>
      <c r="G997" s="195"/>
      <c r="H997" s="195"/>
      <c r="I997" s="195"/>
      <c r="J997" s="195"/>
      <c r="K997" s="195"/>
      <c r="L997" s="195"/>
      <c r="M997" s="195"/>
      <c r="N997" s="195"/>
      <c r="O997" s="195"/>
      <c r="P997" s="195"/>
      <c r="Q997" s="195"/>
      <c r="R997" s="195"/>
      <c r="S997" s="195"/>
      <c r="T997" s="195"/>
      <c r="U997" s="195"/>
      <c r="V997" s="195"/>
      <c r="W997" s="195"/>
      <c r="X997" s="195"/>
      <c r="Y997" s="195"/>
      <c r="Z997" s="195"/>
    </row>
    <row r="998" ht="14.25" customHeight="1">
      <c r="A998" s="195"/>
      <c r="B998" s="195"/>
      <c r="C998" s="195"/>
      <c r="D998" s="195"/>
      <c r="E998" s="195"/>
      <c r="F998" s="195"/>
      <c r="G998" s="195"/>
      <c r="H998" s="195"/>
      <c r="I998" s="195"/>
      <c r="J998" s="195"/>
      <c r="K998" s="195"/>
      <c r="L998" s="195"/>
      <c r="M998" s="195"/>
      <c r="N998" s="195"/>
      <c r="O998" s="195"/>
      <c r="P998" s="195"/>
      <c r="Q998" s="195"/>
      <c r="R998" s="195"/>
      <c r="S998" s="195"/>
      <c r="T998" s="195"/>
      <c r="U998" s="195"/>
      <c r="V998" s="195"/>
      <c r="W998" s="195"/>
      <c r="X998" s="195"/>
      <c r="Y998" s="195"/>
      <c r="Z998" s="195"/>
    </row>
    <row r="999" ht="14.25" customHeight="1">
      <c r="A999" s="195"/>
      <c r="B999" s="195"/>
      <c r="C999" s="195"/>
      <c r="D999" s="195"/>
      <c r="E999" s="195"/>
      <c r="F999" s="195"/>
      <c r="G999" s="195"/>
      <c r="H999" s="195"/>
      <c r="I999" s="195"/>
      <c r="J999" s="195"/>
      <c r="K999" s="195"/>
      <c r="L999" s="195"/>
      <c r="M999" s="195"/>
      <c r="N999" s="195"/>
      <c r="O999" s="195"/>
      <c r="P999" s="195"/>
      <c r="Q999" s="195"/>
      <c r="R999" s="195"/>
      <c r="S999" s="195"/>
      <c r="T999" s="195"/>
      <c r="U999" s="195"/>
      <c r="V999" s="195"/>
      <c r="W999" s="195"/>
      <c r="X999" s="195"/>
      <c r="Y999" s="195"/>
      <c r="Z999" s="195"/>
    </row>
    <row r="1000" ht="14.25" customHeight="1">
      <c r="A1000" s="195"/>
      <c r="B1000" s="195"/>
      <c r="C1000" s="195"/>
      <c r="D1000" s="195"/>
      <c r="E1000" s="195"/>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row>
  </sheetData>
  <mergeCells count="10">
    <mergeCell ref="A34:N34"/>
    <mergeCell ref="A41:N41"/>
    <mergeCell ref="A48:N48"/>
    <mergeCell ref="A1:N1"/>
    <mergeCell ref="A2:N2"/>
    <mergeCell ref="A4:N4"/>
    <mergeCell ref="A8:N8"/>
    <mergeCell ref="A12:N12"/>
    <mergeCell ref="A16:N16"/>
    <mergeCell ref="A27:N27"/>
  </mergeCells>
  <conditionalFormatting sqref="I5:I7">
    <cfRule type="expression" dxfId="5" priority="1">
      <formula>OR(B5="Actual positive", B5="Potential positive")</formula>
    </cfRule>
  </conditionalFormatting>
  <conditionalFormatting sqref="I9:I11">
    <cfRule type="expression" dxfId="5" priority="2">
      <formula>OR(B9="Actual positive", B9="Potential positive")</formula>
    </cfRule>
  </conditionalFormatting>
  <conditionalFormatting sqref="I13:I15">
    <cfRule type="expression" dxfId="5" priority="3">
      <formula>OR(B13="Actual positive", B13="Potential positive")</formula>
    </cfRule>
  </conditionalFormatting>
  <conditionalFormatting sqref="I17:I19">
    <cfRule type="expression" dxfId="5" priority="4">
      <formula>OR(B17="Actual positive", B17="Potential positive")</formula>
    </cfRule>
  </conditionalFormatting>
  <conditionalFormatting sqref="I9:J11">
    <cfRule type="expression" dxfId="4" priority="5">
      <formula>OR(B9="Acutal positiv", B9="Potential positiv")</formula>
    </cfRule>
  </conditionalFormatting>
  <conditionalFormatting sqref="I13:J15">
    <cfRule type="expression" dxfId="4" priority="6">
      <formula>OR(B13="Actual positiv", B13="Potential positiv")</formula>
    </cfRule>
  </conditionalFormatting>
  <conditionalFormatting sqref="N5:N7 N9:N11 N13:N15 N17:N19 N28:N33 N35:N40 N42:N47 N49:N54">
    <cfRule type="containsText" dxfId="0" priority="7" operator="containsText" text="yes">
      <formula>NOT(ISERROR(SEARCH(("yes"),(N5))))</formula>
    </cfRule>
  </conditionalFormatting>
  <dataValidations>
    <dataValidation type="list" allowBlank="1" showErrorMessage="1" sqref="C5:C7 F5:F7 I5:I7 C9:C11 F9:F11 I9:I11 C13:C15 F13:F15 I13:I15 C17:C19 F17:F19 I17:I19 C21:C23 F21:F23 I21:I23">
      <formula1>'Assignment Table'!$A$3:$A$6</formula1>
    </dataValidation>
    <dataValidation type="list" allowBlank="1" showErrorMessage="1" sqref="B5:B7 B9:B11 B13:B15 B17:B19 B21:B23">
      <formula1>'Assignment Table'!$D$16:$D$19</formula1>
    </dataValidation>
    <dataValidation type="list" allowBlank="1" showErrorMessage="1" sqref="F28:F33 F35:F40 F42:F47 F49:F54 F56:F59">
      <formula1>'Assignment Table'!$A$29:$A$35</formula1>
    </dataValidation>
    <dataValidation type="list" allowBlank="1" showErrorMessage="1" sqref="C28:C33 C35:C40 C42:C47 C49:C54 C56:C59">
      <formula1>'Assignment Table'!$A$17:$A$23</formula1>
    </dataValidation>
    <dataValidation type="list" allowBlank="1" showErrorMessage="1" sqref="L5:L7 L9:L11 L13:L15 L17:L19">
      <formula1>'Assignment Table'!$D$2:$D$11</formula1>
    </dataValidation>
  </dataValidations>
  <printOptions/>
  <pageMargins bottom="0.787401575" footer="0.0" header="0.0" left="0.7" right="0.7" top="0.7874015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3" width="27.43"/>
    <col customWidth="1" min="4" max="5" width="24.86"/>
    <col customWidth="1" min="6" max="6" width="28.86"/>
    <col customWidth="1" min="7" max="7" width="22.57"/>
    <col customWidth="1" min="8" max="26" width="11.57"/>
  </cols>
  <sheetData>
    <row r="1" ht="60.0" customHeight="1">
      <c r="A1" s="159" t="s">
        <v>265</v>
      </c>
      <c r="B1" s="160"/>
      <c r="C1" s="160"/>
      <c r="D1" s="160"/>
      <c r="E1" s="160"/>
      <c r="F1" s="160"/>
      <c r="G1" s="209"/>
      <c r="H1" s="130"/>
      <c r="I1" s="130"/>
      <c r="J1" s="130"/>
      <c r="K1" s="130"/>
      <c r="L1" s="130"/>
      <c r="M1" s="130"/>
      <c r="N1" s="130"/>
      <c r="O1" s="130"/>
      <c r="P1" s="130"/>
      <c r="Q1" s="130"/>
      <c r="R1" s="130"/>
      <c r="S1" s="130"/>
      <c r="T1" s="130"/>
      <c r="U1" s="130"/>
      <c r="V1" s="130"/>
      <c r="W1" s="130"/>
      <c r="X1" s="130"/>
      <c r="Y1" s="130"/>
      <c r="Z1" s="130"/>
    </row>
    <row r="2" ht="34.5" customHeight="1">
      <c r="A2" s="246" t="s">
        <v>266</v>
      </c>
      <c r="B2" s="160"/>
      <c r="C2" s="160"/>
      <c r="D2" s="160"/>
      <c r="E2" s="160"/>
      <c r="F2" s="160"/>
      <c r="G2" s="209"/>
      <c r="H2" s="130"/>
      <c r="I2" s="130"/>
      <c r="J2" s="130"/>
      <c r="K2" s="130"/>
      <c r="L2" s="130"/>
      <c r="M2" s="130"/>
      <c r="N2" s="130"/>
      <c r="O2" s="130"/>
      <c r="P2" s="130"/>
      <c r="Q2" s="130"/>
      <c r="R2" s="130"/>
      <c r="S2" s="130"/>
      <c r="T2" s="130"/>
      <c r="U2" s="130"/>
      <c r="V2" s="130"/>
      <c r="W2" s="130"/>
      <c r="X2" s="130"/>
      <c r="Y2" s="130"/>
      <c r="Z2" s="130"/>
    </row>
    <row r="3" ht="14.25" customHeight="1">
      <c r="A3" s="247" t="s">
        <v>100</v>
      </c>
      <c r="B3" s="247" t="s">
        <v>232</v>
      </c>
      <c r="C3" s="247" t="s">
        <v>267</v>
      </c>
      <c r="D3" s="247" t="s">
        <v>268</v>
      </c>
      <c r="E3" s="247" t="s">
        <v>267</v>
      </c>
      <c r="F3" s="247" t="s">
        <v>269</v>
      </c>
      <c r="G3" s="248" t="s">
        <v>267</v>
      </c>
      <c r="H3" s="130"/>
      <c r="I3" s="130"/>
      <c r="J3" s="130"/>
      <c r="K3" s="130"/>
      <c r="L3" s="130"/>
      <c r="M3" s="130"/>
      <c r="N3" s="130"/>
      <c r="O3" s="130"/>
      <c r="P3" s="130"/>
      <c r="Q3" s="130"/>
      <c r="R3" s="130"/>
      <c r="S3" s="130"/>
      <c r="T3" s="130"/>
      <c r="U3" s="130"/>
      <c r="V3" s="130"/>
      <c r="W3" s="130"/>
      <c r="X3" s="130"/>
      <c r="Y3" s="130"/>
      <c r="Z3" s="130"/>
    </row>
    <row r="4" ht="14.25" customHeight="1">
      <c r="A4" s="249" t="s">
        <v>12</v>
      </c>
      <c r="B4" s="250"/>
      <c r="C4" s="250"/>
      <c r="D4" s="250"/>
      <c r="E4" s="250"/>
      <c r="F4" s="250"/>
      <c r="G4" s="251"/>
      <c r="H4" s="130"/>
      <c r="I4" s="130"/>
      <c r="J4" s="130"/>
      <c r="K4" s="130"/>
      <c r="L4" s="130"/>
      <c r="M4" s="130"/>
      <c r="N4" s="130"/>
      <c r="O4" s="130"/>
      <c r="P4" s="130"/>
      <c r="Q4" s="130"/>
      <c r="R4" s="130"/>
      <c r="S4" s="130"/>
      <c r="T4" s="130"/>
      <c r="U4" s="130"/>
      <c r="V4" s="130"/>
      <c r="W4" s="130"/>
      <c r="X4" s="130"/>
      <c r="Y4" s="130"/>
      <c r="Z4" s="130"/>
    </row>
    <row r="5" ht="14.25" customHeight="1">
      <c r="A5" s="139" t="s">
        <v>105</v>
      </c>
      <c r="B5" s="189"/>
      <c r="C5" s="189"/>
      <c r="D5" s="189"/>
      <c r="E5" s="189"/>
      <c r="F5" s="189"/>
      <c r="G5" s="190"/>
      <c r="H5" s="130"/>
      <c r="I5" s="130"/>
      <c r="J5" s="130"/>
      <c r="K5" s="130"/>
      <c r="L5" s="130"/>
      <c r="M5" s="130"/>
      <c r="N5" s="130"/>
      <c r="O5" s="130"/>
      <c r="P5" s="130"/>
      <c r="Q5" s="130"/>
      <c r="R5" s="130"/>
      <c r="S5" s="130"/>
      <c r="T5" s="130"/>
      <c r="U5" s="130"/>
      <c r="V5" s="130"/>
      <c r="W5" s="130"/>
      <c r="X5" s="130"/>
      <c r="Y5" s="130"/>
      <c r="Z5" s="130"/>
    </row>
    <row r="6" ht="14.25" customHeight="1">
      <c r="A6" s="89"/>
      <c r="B6" s="89" t="str">
        <f>IF('2. List of IROs'!C7="", "", '2. List of IROs'!C7)</f>
        <v>Impact E1-1</v>
      </c>
      <c r="C6" s="89" t="str">
        <f>'3. DMA Environmental'!O5</f>
        <v/>
      </c>
      <c r="D6" s="89" t="str">
        <f>IF('2. List of IROs'!D7="", "", '2. List of IROs'!D7)</f>
        <v>Risk E1-1</v>
      </c>
      <c r="E6" s="89" t="str">
        <f>'3. DMA Environmental'!O31</f>
        <v>yes</v>
      </c>
      <c r="F6" s="89" t="str">
        <f>IF('2. List of IROs'!E7="", "", '2. List of IROs'!E7)</f>
        <v>Opportunity E1-1</v>
      </c>
      <c r="G6" s="118" t="str">
        <f>'3. DMA Environmental'!O34</f>
        <v>yes</v>
      </c>
      <c r="H6" s="130"/>
      <c r="I6" s="130"/>
      <c r="J6" s="130"/>
      <c r="K6" s="130"/>
      <c r="L6" s="130"/>
      <c r="M6" s="130"/>
      <c r="N6" s="130"/>
      <c r="O6" s="130"/>
      <c r="P6" s="130"/>
      <c r="Q6" s="130"/>
      <c r="R6" s="130"/>
      <c r="S6" s="130"/>
      <c r="T6" s="130"/>
      <c r="U6" s="130"/>
      <c r="V6" s="130"/>
      <c r="W6" s="130"/>
      <c r="X6" s="130"/>
      <c r="Y6" s="130"/>
      <c r="Z6" s="130"/>
    </row>
    <row r="7" ht="14.25" customHeight="1">
      <c r="A7" s="89"/>
      <c r="B7" s="89" t="str">
        <f>IF('2. List of IROs'!C6="", "", '2. List of IROs'!C6)</f>
        <v>Impact E1-2</v>
      </c>
      <c r="C7" s="89" t="str">
        <f>'3. DMA Environmental'!O6</f>
        <v/>
      </c>
      <c r="D7" s="89" t="str">
        <f>IF('2. List of IROs'!D6="", "", '2. List of IROs'!D6)</f>
        <v>Risk E1-2</v>
      </c>
      <c r="E7" s="89" t="str">
        <f>'3. DMA Environmental'!O32</f>
        <v>yes</v>
      </c>
      <c r="F7" s="89" t="str">
        <f>IF('2. List of IROs'!E6="", "", '2. List of IROs'!E6)</f>
        <v>Opportunity E1-2</v>
      </c>
      <c r="G7" s="118" t="str">
        <f>'3. DMA Environmental'!O35</f>
        <v>no</v>
      </c>
      <c r="H7" s="130"/>
      <c r="I7" s="130"/>
      <c r="J7" s="130"/>
      <c r="K7" s="130"/>
      <c r="L7" s="130"/>
      <c r="M7" s="130"/>
      <c r="N7" s="130"/>
      <c r="O7" s="130"/>
      <c r="P7" s="130"/>
      <c r="Q7" s="130"/>
      <c r="R7" s="130"/>
      <c r="S7" s="130"/>
      <c r="T7" s="130"/>
      <c r="U7" s="130"/>
      <c r="V7" s="130"/>
      <c r="W7" s="130"/>
      <c r="X7" s="130"/>
      <c r="Y7" s="130"/>
      <c r="Z7" s="130"/>
    </row>
    <row r="8" ht="14.25" customHeight="1">
      <c r="A8" s="89"/>
      <c r="B8" s="89" t="str">
        <f>IF('2. List of IROs'!C8="", "", '2. List of IROs'!C8)</f>
        <v>Impact E1-3</v>
      </c>
      <c r="C8" s="89" t="str">
        <f>'3. DMA Environmental'!O7</f>
        <v>yes</v>
      </c>
      <c r="D8" s="89"/>
      <c r="E8" s="89"/>
      <c r="F8" s="89"/>
      <c r="G8" s="118"/>
      <c r="H8" s="130"/>
      <c r="I8" s="130"/>
      <c r="J8" s="130"/>
      <c r="K8" s="130"/>
      <c r="L8" s="130"/>
      <c r="M8" s="130"/>
      <c r="N8" s="130"/>
      <c r="O8" s="130"/>
      <c r="P8" s="130"/>
      <c r="Q8" s="130"/>
      <c r="R8" s="130"/>
      <c r="S8" s="130"/>
      <c r="T8" s="130"/>
      <c r="U8" s="130"/>
      <c r="V8" s="130"/>
      <c r="W8" s="130"/>
      <c r="X8" s="130"/>
      <c r="Y8" s="130"/>
      <c r="Z8" s="130"/>
    </row>
    <row r="9" ht="14.25" customHeight="1">
      <c r="A9" s="143" t="s">
        <v>118</v>
      </c>
      <c r="B9" s="132"/>
      <c r="C9" s="132"/>
      <c r="D9" s="132"/>
      <c r="E9" s="132"/>
      <c r="F9" s="132"/>
      <c r="G9" s="133"/>
      <c r="H9" s="130"/>
      <c r="I9" s="130"/>
      <c r="J9" s="130"/>
      <c r="K9" s="130"/>
      <c r="L9" s="130"/>
      <c r="M9" s="130"/>
      <c r="N9" s="130"/>
      <c r="O9" s="130"/>
      <c r="P9" s="130"/>
      <c r="Q9" s="130"/>
      <c r="R9" s="130"/>
      <c r="S9" s="130"/>
      <c r="T9" s="130"/>
      <c r="U9" s="130"/>
      <c r="V9" s="130"/>
      <c r="W9" s="130"/>
      <c r="X9" s="130"/>
      <c r="Y9" s="130"/>
      <c r="Z9" s="130"/>
    </row>
    <row r="10" ht="14.25" customHeight="1">
      <c r="A10" s="89"/>
      <c r="B10" s="89" t="str">
        <f>IF('2. List of IROs'!C10="", "", '2. List of IROs'!C10)</f>
        <v>Impact E2-1</v>
      </c>
      <c r="C10" s="89" t="str">
        <f>'3. DMA Environmental'!O9</f>
        <v>no</v>
      </c>
      <c r="D10" s="89" t="str">
        <f>IF('2. List of IROs'!D10="", "", '2. List of IROs'!D10)</f>
        <v>Risk E2-1</v>
      </c>
      <c r="E10" s="89" t="str">
        <f>'3. DMA Environmental'!O38</f>
        <v>no</v>
      </c>
      <c r="F10" s="89" t="str">
        <f>IF('2. List of IROs'!E10="", "", '2. List of IROs'!E10)</f>
        <v>Opportunity E2-1</v>
      </c>
      <c r="G10" s="118" t="str">
        <f>'3. DMA Environmental'!O45</f>
        <v>no</v>
      </c>
      <c r="H10" s="130"/>
      <c r="I10" s="130"/>
      <c r="J10" s="130"/>
      <c r="K10" s="130"/>
      <c r="L10" s="130"/>
      <c r="M10" s="130"/>
      <c r="N10" s="130"/>
      <c r="O10" s="130"/>
      <c r="P10" s="130"/>
      <c r="Q10" s="130"/>
      <c r="R10" s="130"/>
      <c r="S10" s="130"/>
      <c r="T10" s="130"/>
      <c r="U10" s="130"/>
      <c r="V10" s="130"/>
      <c r="W10" s="130"/>
      <c r="X10" s="130"/>
      <c r="Y10" s="130"/>
      <c r="Z10" s="130"/>
    </row>
    <row r="11" ht="14.25" customHeight="1">
      <c r="A11" s="89"/>
      <c r="B11" s="89" t="str">
        <f>IF('2. List of IROs'!C11="", "", '2. List of IROs'!C11)</f>
        <v>Impact E2-2</v>
      </c>
      <c r="C11" s="89" t="str">
        <f>'3. DMA Environmental'!O10</f>
        <v>yes</v>
      </c>
      <c r="D11" s="89" t="str">
        <f>IF('2. List of IROs'!D11="", "", '2. List of IROs'!D11)</f>
        <v>Risk E2-2</v>
      </c>
      <c r="E11" s="89" t="str">
        <f>'3. DMA Environmental'!O39</f>
        <v>no</v>
      </c>
      <c r="F11" s="89" t="str">
        <f>IF('2. List of IROs'!E11="", "", '2. List of IROs'!E11)</f>
        <v>Opportunity E2-2</v>
      </c>
      <c r="G11" s="118" t="str">
        <f>'3. DMA Environmental'!O46</f>
        <v>no</v>
      </c>
      <c r="H11" s="130"/>
      <c r="I11" s="130"/>
      <c r="J11" s="130"/>
      <c r="K11" s="130"/>
      <c r="L11" s="130"/>
      <c r="M11" s="130"/>
      <c r="N11" s="130"/>
      <c r="O11" s="130"/>
      <c r="P11" s="130"/>
      <c r="Q11" s="130"/>
      <c r="R11" s="130"/>
      <c r="S11" s="130"/>
      <c r="T11" s="130"/>
      <c r="U11" s="130"/>
      <c r="V11" s="130"/>
      <c r="W11" s="130"/>
      <c r="X11" s="130"/>
      <c r="Y11" s="130"/>
      <c r="Z11" s="130"/>
    </row>
    <row r="12" ht="14.25" customHeight="1">
      <c r="A12" s="89"/>
      <c r="B12" s="89" t="str">
        <f>IF('2. List of IROs'!C12="", "", '2. List of IROs'!C12)</f>
        <v>Impact E2-3</v>
      </c>
      <c r="C12" s="89" t="str">
        <f>'3. DMA Environmental'!O11</f>
        <v/>
      </c>
      <c r="D12" s="89" t="str">
        <f>IF('2. List of IROs'!D12="", "", '2. List of IROs'!D12)</f>
        <v>Risk E2-3</v>
      </c>
      <c r="E12" s="89" t="str">
        <f>'3. DMA Environmental'!O40</f>
        <v>yes</v>
      </c>
      <c r="F12" s="89" t="str">
        <f>IF('2. List of IROs'!E12="", "", '2. List of IROs'!E12)</f>
        <v>Opportunity E2-3</v>
      </c>
      <c r="G12" s="118" t="str">
        <f>'3. DMA Environmental'!O47</f>
        <v>yes</v>
      </c>
      <c r="H12" s="130"/>
      <c r="I12" s="130"/>
      <c r="J12" s="130"/>
      <c r="K12" s="130"/>
      <c r="L12" s="130"/>
      <c r="M12" s="130"/>
      <c r="N12" s="130"/>
      <c r="O12" s="130"/>
      <c r="P12" s="130"/>
      <c r="Q12" s="130"/>
      <c r="R12" s="130"/>
      <c r="S12" s="130"/>
      <c r="T12" s="130"/>
      <c r="U12" s="130"/>
      <c r="V12" s="130"/>
      <c r="W12" s="130"/>
      <c r="X12" s="130"/>
      <c r="Y12" s="130"/>
      <c r="Z12" s="130"/>
    </row>
    <row r="13" ht="14.25" customHeight="1">
      <c r="A13" s="143" t="s">
        <v>141</v>
      </c>
      <c r="B13" s="132"/>
      <c r="C13" s="132"/>
      <c r="D13" s="132"/>
      <c r="E13" s="132"/>
      <c r="F13" s="132"/>
      <c r="G13" s="133"/>
      <c r="H13" s="130"/>
      <c r="I13" s="130"/>
      <c r="J13" s="130"/>
      <c r="K13" s="130"/>
      <c r="L13" s="130"/>
      <c r="M13" s="130"/>
      <c r="N13" s="130"/>
      <c r="O13" s="130"/>
      <c r="P13" s="130"/>
      <c r="Q13" s="130"/>
      <c r="R13" s="130"/>
      <c r="S13" s="130"/>
      <c r="T13" s="130"/>
      <c r="U13" s="130"/>
      <c r="V13" s="130"/>
      <c r="W13" s="130"/>
      <c r="X13" s="130"/>
      <c r="Y13" s="130"/>
      <c r="Z13" s="130"/>
    </row>
    <row r="14" ht="14.25" customHeight="1">
      <c r="A14" s="89"/>
      <c r="B14" s="89" t="str">
        <f>IF('2. List of IROs'!C18="", "", '2. List of IROs'!C18)</f>
        <v>Impact E3-1</v>
      </c>
      <c r="C14" s="89" t="str">
        <f>'3. DMA Environmental'!O17</f>
        <v/>
      </c>
      <c r="D14" s="89" t="str">
        <f>IF('2. List of IROs'!D18="", "", '2. List of IROs'!D18)</f>
        <v>Risk E3-1</v>
      </c>
      <c r="E14" s="89" t="str">
        <f>'3. DMA Environmental'!O53</f>
        <v/>
      </c>
      <c r="F14" s="89" t="str">
        <f>IF('2. List of IROs'!E18="", "", '2. List of IROs'!E18)</f>
        <v>Opportunity E3-1</v>
      </c>
      <c r="G14" s="118" t="str">
        <f>'3. DMA Environmental'!O55</f>
        <v/>
      </c>
      <c r="H14" s="130"/>
      <c r="I14" s="130"/>
      <c r="J14" s="130"/>
      <c r="K14" s="130"/>
      <c r="L14" s="130"/>
      <c r="M14" s="130"/>
      <c r="N14" s="130"/>
      <c r="O14" s="130"/>
      <c r="P14" s="130"/>
      <c r="Q14" s="130"/>
      <c r="R14" s="130"/>
      <c r="S14" s="130"/>
      <c r="T14" s="130"/>
      <c r="U14" s="130"/>
      <c r="V14" s="130"/>
      <c r="W14" s="130"/>
      <c r="X14" s="130"/>
      <c r="Y14" s="130"/>
      <c r="Z14" s="130"/>
    </row>
    <row r="15" ht="14.25" customHeight="1">
      <c r="A15" s="89"/>
      <c r="B15" s="89" t="str">
        <f>IF('2. List of IROs'!C19="", "", '2. List of IROs'!C19)</f>
        <v>Impact E3-2</v>
      </c>
      <c r="C15" s="89" t="str">
        <f>'3. DMA Environmental'!O18</f>
        <v/>
      </c>
      <c r="D15" s="89" t="str">
        <f>IF('2. List of IROs'!D19="", "", '2. List of IROs'!D19)</f>
        <v>Risk E3-2</v>
      </c>
      <c r="E15" s="89" t="str">
        <f>'3. DMA Environmental'!O54</f>
        <v/>
      </c>
      <c r="F15" s="89" t="str">
        <f>IF('2. List of IROs'!E19="", "", '2. List of IROs'!E19)</f>
        <v>Opportunity E3-2</v>
      </c>
      <c r="G15" s="118" t="str">
        <f>'3. DMA Environmental'!O56</f>
        <v/>
      </c>
      <c r="H15" s="130"/>
      <c r="I15" s="130"/>
      <c r="J15" s="130"/>
      <c r="K15" s="130"/>
      <c r="L15" s="130"/>
      <c r="M15" s="130"/>
      <c r="N15" s="130"/>
      <c r="O15" s="130"/>
      <c r="P15" s="130"/>
      <c r="Q15" s="130"/>
      <c r="R15" s="130"/>
      <c r="S15" s="130"/>
      <c r="T15" s="130"/>
      <c r="U15" s="130"/>
      <c r="V15" s="130"/>
      <c r="W15" s="130"/>
      <c r="X15" s="130"/>
      <c r="Y15" s="130"/>
      <c r="Z15" s="130"/>
    </row>
    <row r="16" ht="14.25" customHeight="1">
      <c r="A16" s="89"/>
      <c r="B16" s="89" t="str">
        <f>IF(#REF!="", "", #REF!)</f>
        <v>#REF!</v>
      </c>
      <c r="C16" s="89" t="str">
        <f>#REF!</f>
        <v>#REF!</v>
      </c>
      <c r="D16" s="89" t="str">
        <f>IF(#REF!="", "", #REF!)</f>
        <v>#REF!</v>
      </c>
      <c r="E16" s="89" t="str">
        <f>#REF!</f>
        <v>#REF!</v>
      </c>
      <c r="F16" s="89" t="str">
        <f>IF(#REF!="", "", #REF!)</f>
        <v>#REF!</v>
      </c>
      <c r="G16" s="118" t="str">
        <f>#REF!</f>
        <v>#REF!</v>
      </c>
      <c r="H16" s="130"/>
      <c r="I16" s="130"/>
      <c r="J16" s="130"/>
      <c r="K16" s="130"/>
      <c r="L16" s="130"/>
      <c r="M16" s="130"/>
      <c r="N16" s="130"/>
      <c r="O16" s="130"/>
      <c r="P16" s="130"/>
      <c r="Q16" s="130"/>
      <c r="R16" s="130"/>
      <c r="S16" s="130"/>
      <c r="T16" s="130"/>
      <c r="U16" s="130"/>
      <c r="V16" s="130"/>
      <c r="W16" s="130"/>
      <c r="X16" s="130"/>
      <c r="Y16" s="130"/>
      <c r="Z16" s="130"/>
    </row>
    <row r="17" ht="14.25" customHeight="1">
      <c r="A17" s="143" t="s">
        <v>148</v>
      </c>
      <c r="B17" s="132"/>
      <c r="C17" s="132"/>
      <c r="D17" s="132"/>
      <c r="E17" s="132"/>
      <c r="F17" s="132"/>
      <c r="G17" s="133"/>
      <c r="H17" s="130"/>
      <c r="I17" s="130"/>
      <c r="J17" s="130"/>
      <c r="K17" s="130"/>
      <c r="L17" s="130"/>
      <c r="M17" s="130"/>
      <c r="N17" s="130"/>
      <c r="O17" s="130"/>
      <c r="P17" s="130"/>
      <c r="Q17" s="130"/>
      <c r="R17" s="130"/>
      <c r="S17" s="130"/>
      <c r="T17" s="130"/>
      <c r="U17" s="130"/>
      <c r="V17" s="130"/>
      <c r="W17" s="130"/>
      <c r="X17" s="130"/>
      <c r="Y17" s="130"/>
      <c r="Z17" s="130"/>
    </row>
    <row r="18" ht="14.25" customHeight="1">
      <c r="A18" s="89"/>
      <c r="B18" s="89" t="str">
        <f>IF('2. List of IROs'!C21="", "", '2. List of IROs'!C21)</f>
        <v>Impact E4-1</v>
      </c>
      <c r="C18" s="89" t="str">
        <f>'3. DMA Environmental'!O20</f>
        <v/>
      </c>
      <c r="D18" s="89" t="str">
        <f>IF('2. List of IROs'!D21="", "", '2. List of IROs'!D21)</f>
        <v>Risk E4-1</v>
      </c>
      <c r="E18" s="89" t="str">
        <f>'3. DMA Environmental'!O58</f>
        <v/>
      </c>
      <c r="F18" s="89" t="str">
        <f>IF('2. List of IROs'!E21="", "", '2. List of IROs'!E21)</f>
        <v>Opportunity E4-1</v>
      </c>
      <c r="G18" s="118" t="str">
        <f>'3. DMA Environmental'!O61</f>
        <v/>
      </c>
      <c r="H18" s="130"/>
      <c r="I18" s="130"/>
      <c r="J18" s="130"/>
      <c r="K18" s="130"/>
      <c r="L18" s="130"/>
      <c r="M18" s="130"/>
      <c r="N18" s="130"/>
      <c r="O18" s="130"/>
      <c r="P18" s="130"/>
      <c r="Q18" s="130"/>
      <c r="R18" s="130"/>
      <c r="S18" s="130"/>
      <c r="T18" s="130"/>
      <c r="U18" s="130"/>
      <c r="V18" s="130"/>
      <c r="W18" s="130"/>
      <c r="X18" s="130"/>
      <c r="Y18" s="130"/>
      <c r="Z18" s="130"/>
    </row>
    <row r="19" ht="14.25" customHeight="1">
      <c r="A19" s="89"/>
      <c r="B19" s="89" t="str">
        <f>IF('2. List of IROs'!C22="", "", '2. List of IROs'!C22)</f>
        <v>Impact E4-2</v>
      </c>
      <c r="C19" s="89" t="str">
        <f>'3. DMA Environmental'!O21</f>
        <v/>
      </c>
      <c r="D19" s="89" t="str">
        <f>IF('2. List of IROs'!D22="", "", '2. List of IROs'!D22)</f>
        <v>Risk E4-2</v>
      </c>
      <c r="E19" s="89" t="str">
        <f>'3. DMA Environmental'!O59</f>
        <v/>
      </c>
      <c r="F19" s="89" t="str">
        <f>IF('2. List of IROs'!E22="", "", '2. List of IROs'!E22)</f>
        <v>Opportunity E4-2</v>
      </c>
      <c r="G19" s="118" t="str">
        <f>'3. DMA Environmental'!O62</f>
        <v/>
      </c>
      <c r="H19" s="130"/>
      <c r="I19" s="130"/>
      <c r="J19" s="130"/>
      <c r="K19" s="130"/>
      <c r="L19" s="130"/>
      <c r="M19" s="130"/>
      <c r="N19" s="130"/>
      <c r="O19" s="130"/>
      <c r="P19" s="130"/>
      <c r="Q19" s="130"/>
      <c r="R19" s="130"/>
      <c r="S19" s="130"/>
      <c r="T19" s="130"/>
      <c r="U19" s="130"/>
      <c r="V19" s="130"/>
      <c r="W19" s="130"/>
      <c r="X19" s="130"/>
      <c r="Y19" s="130"/>
      <c r="Z19" s="130"/>
    </row>
    <row r="20" ht="14.25" customHeight="1">
      <c r="A20" s="89"/>
      <c r="B20" s="89" t="str">
        <f>IF('2. List of IROs'!C23="", "", '2. List of IROs'!C23)</f>
        <v>Impact E4-3</v>
      </c>
      <c r="C20" s="89" t="str">
        <f>'3. DMA Environmental'!O22</f>
        <v/>
      </c>
      <c r="D20" s="89" t="str">
        <f>IF('2. List of IROs'!D23="", "", '2. List of IROs'!D23)</f>
        <v>Risk E4-3</v>
      </c>
      <c r="E20" s="89" t="str">
        <f>'3. DMA Environmental'!O60</f>
        <v/>
      </c>
      <c r="F20" s="89" t="str">
        <f>IF('2. List of IROs'!E23="", "", '2. List of IROs'!E23)</f>
        <v>Opportunity E4-3</v>
      </c>
      <c r="G20" s="118" t="str">
        <f>'3. DMA Environmental'!O63</f>
        <v/>
      </c>
      <c r="H20" s="130"/>
      <c r="I20" s="130"/>
      <c r="J20" s="130"/>
      <c r="K20" s="130"/>
      <c r="L20" s="130"/>
      <c r="M20" s="130"/>
      <c r="N20" s="130"/>
      <c r="O20" s="130"/>
      <c r="P20" s="130"/>
      <c r="Q20" s="130"/>
      <c r="R20" s="130"/>
      <c r="S20" s="130"/>
      <c r="T20" s="130"/>
      <c r="U20" s="130"/>
      <c r="V20" s="130"/>
      <c r="W20" s="130"/>
      <c r="X20" s="130"/>
      <c r="Y20" s="130"/>
      <c r="Z20" s="130"/>
    </row>
    <row r="21" ht="14.25" customHeight="1">
      <c r="A21" s="143" t="s">
        <v>160</v>
      </c>
      <c r="B21" s="132"/>
      <c r="C21" s="132"/>
      <c r="D21" s="132"/>
      <c r="E21" s="132"/>
      <c r="F21" s="132"/>
      <c r="G21" s="133"/>
      <c r="H21" s="130"/>
      <c r="I21" s="130"/>
      <c r="J21" s="130"/>
      <c r="K21" s="130"/>
      <c r="L21" s="130"/>
      <c r="M21" s="130"/>
      <c r="N21" s="130"/>
      <c r="O21" s="130"/>
      <c r="P21" s="130"/>
      <c r="Q21" s="130"/>
      <c r="R21" s="130"/>
      <c r="S21" s="130"/>
      <c r="T21" s="130"/>
      <c r="U21" s="130"/>
      <c r="V21" s="130"/>
      <c r="W21" s="130"/>
      <c r="X21" s="130"/>
      <c r="Y21" s="130"/>
      <c r="Z21" s="130"/>
    </row>
    <row r="22" ht="14.25" customHeight="1">
      <c r="A22" s="89"/>
      <c r="B22" s="89" t="str">
        <f>IF('2. List of IROs'!C26="", "", '2. List of IROs'!C26)</f>
        <v>Impact E5-1</v>
      </c>
      <c r="C22" s="89" t="str">
        <f>'3. DMA Environmental'!O24</f>
        <v/>
      </c>
      <c r="D22" s="89" t="str">
        <f>IF('2. List of IROs'!D26="", "", '2. List of IROs'!D26)</f>
        <v>Risk E5-1</v>
      </c>
      <c r="E22" s="89" t="str">
        <f>'3. DMA Environmental'!O65</f>
        <v/>
      </c>
      <c r="F22" s="89" t="str">
        <f>IF('2. List of IROs'!E26="", "", '2. List of IROs'!E26)</f>
        <v>Opportunity E5-1</v>
      </c>
      <c r="G22" s="118" t="str">
        <f>'3. DMA Environmental'!O68</f>
        <v/>
      </c>
      <c r="H22" s="130"/>
      <c r="I22" s="130"/>
      <c r="J22" s="130"/>
      <c r="K22" s="130"/>
      <c r="L22" s="130"/>
      <c r="M22" s="130"/>
      <c r="N22" s="130"/>
      <c r="O22" s="130"/>
      <c r="P22" s="130"/>
      <c r="Q22" s="130"/>
      <c r="R22" s="130"/>
      <c r="S22" s="130"/>
      <c r="T22" s="130"/>
      <c r="U22" s="130"/>
      <c r="V22" s="130"/>
      <c r="W22" s="130"/>
      <c r="X22" s="130"/>
      <c r="Y22" s="130"/>
      <c r="Z22" s="130"/>
    </row>
    <row r="23" ht="14.25" customHeight="1">
      <c r="A23" s="89"/>
      <c r="B23" s="89" t="str">
        <f>IF('2. List of IROs'!C27="", "", '2. List of IROs'!C27)</f>
        <v>Impact E5-2</v>
      </c>
      <c r="C23" s="89" t="str">
        <f>'3. DMA Environmental'!O25</f>
        <v/>
      </c>
      <c r="D23" s="89" t="str">
        <f>IF('2. List of IROs'!D27="", "", '2. List of IROs'!D27)</f>
        <v>Risk E5-2</v>
      </c>
      <c r="E23" s="89" t="str">
        <f>'3. DMA Environmental'!O66</f>
        <v/>
      </c>
      <c r="F23" s="89" t="str">
        <f>IF('2. List of IROs'!E27="", "", '2. List of IROs'!E27)</f>
        <v>Opportunity E5-2</v>
      </c>
      <c r="G23" s="118" t="str">
        <f>'3. DMA Environmental'!O69</f>
        <v/>
      </c>
      <c r="H23" s="130"/>
      <c r="I23" s="130"/>
      <c r="J23" s="130"/>
      <c r="K23" s="130"/>
      <c r="L23" s="130"/>
      <c r="M23" s="130"/>
      <c r="N23" s="130"/>
      <c r="O23" s="130"/>
      <c r="P23" s="130"/>
      <c r="Q23" s="130"/>
      <c r="R23" s="130"/>
      <c r="S23" s="130"/>
      <c r="T23" s="130"/>
      <c r="U23" s="130"/>
      <c r="V23" s="130"/>
      <c r="W23" s="130"/>
      <c r="X23" s="130"/>
      <c r="Y23" s="130"/>
      <c r="Z23" s="130"/>
    </row>
    <row r="24" ht="14.25" customHeight="1">
      <c r="A24" s="91"/>
      <c r="B24" s="91" t="str">
        <f>IF('2. List of IROs'!C28="", "", '2. List of IROs'!C28)</f>
        <v>Impact E5-3</v>
      </c>
      <c r="C24" s="91" t="str">
        <f>'3. DMA Environmental'!O26</f>
        <v/>
      </c>
      <c r="D24" s="89" t="str">
        <f>IF('2. List of IROs'!D28="", "", '2. List of IROs'!D28)</f>
        <v>Risk E5-3</v>
      </c>
      <c r="E24" s="89" t="str">
        <f>'3. DMA Environmental'!O67</f>
        <v/>
      </c>
      <c r="F24" s="89" t="str">
        <f>IF('2. List of IROs'!E28="", "", '2. List of IROs'!E28)</f>
        <v>Opportunity E5-3</v>
      </c>
      <c r="G24" s="118" t="str">
        <f>'3. DMA Environmental'!O70</f>
        <v/>
      </c>
      <c r="H24" s="130"/>
      <c r="I24" s="130"/>
      <c r="J24" s="130"/>
      <c r="K24" s="130"/>
      <c r="L24" s="130"/>
      <c r="M24" s="130"/>
      <c r="N24" s="130"/>
      <c r="O24" s="130"/>
      <c r="P24" s="130"/>
      <c r="Q24" s="130"/>
      <c r="R24" s="130"/>
      <c r="S24" s="130"/>
      <c r="T24" s="130"/>
      <c r="U24" s="130"/>
      <c r="V24" s="130"/>
      <c r="W24" s="130"/>
      <c r="X24" s="130"/>
      <c r="Y24" s="130"/>
      <c r="Z24" s="130"/>
    </row>
    <row r="25" ht="14.25" customHeight="1">
      <c r="A25" s="252" t="s">
        <v>55</v>
      </c>
      <c r="B25" s="253"/>
      <c r="C25" s="253"/>
      <c r="D25" s="253"/>
      <c r="E25" s="253"/>
      <c r="F25" s="253"/>
      <c r="G25" s="254"/>
      <c r="H25" s="130"/>
      <c r="I25" s="130"/>
      <c r="J25" s="130"/>
      <c r="K25" s="130"/>
      <c r="L25" s="130"/>
      <c r="M25" s="130"/>
      <c r="N25" s="130"/>
      <c r="O25" s="130"/>
      <c r="P25" s="130"/>
      <c r="Q25" s="130"/>
      <c r="R25" s="130"/>
      <c r="S25" s="130"/>
      <c r="T25" s="130"/>
      <c r="U25" s="130"/>
      <c r="V25" s="130"/>
      <c r="W25" s="130"/>
      <c r="X25" s="130"/>
      <c r="Y25" s="130"/>
      <c r="Z25" s="130"/>
    </row>
    <row r="26" ht="14.25" customHeight="1">
      <c r="A26" s="255" t="s">
        <v>170</v>
      </c>
      <c r="B26" s="189"/>
      <c r="C26" s="189"/>
      <c r="D26" s="189"/>
      <c r="E26" s="189"/>
      <c r="F26" s="189"/>
      <c r="G26" s="190"/>
      <c r="H26" s="130"/>
      <c r="I26" s="130"/>
      <c r="J26" s="130"/>
      <c r="K26" s="130"/>
      <c r="L26" s="130"/>
      <c r="M26" s="130"/>
      <c r="N26" s="130"/>
      <c r="O26" s="130"/>
      <c r="P26" s="130"/>
      <c r="Q26" s="130"/>
      <c r="R26" s="130"/>
      <c r="S26" s="130"/>
      <c r="T26" s="130"/>
      <c r="U26" s="130"/>
      <c r="V26" s="130"/>
      <c r="W26" s="130"/>
      <c r="X26" s="130"/>
      <c r="Y26" s="130"/>
      <c r="Z26" s="130"/>
    </row>
    <row r="27" ht="14.25" customHeight="1">
      <c r="A27" s="89"/>
      <c r="B27" s="89" t="str">
        <f>IF('2. List of IROs'!C30="", "", '2. List of IROs'!C30)</f>
        <v>Impact S1-1</v>
      </c>
      <c r="C27" s="89" t="str">
        <f>'4. DMA Social'!N5</f>
        <v/>
      </c>
      <c r="D27" s="89" t="str">
        <f>IF('2. List of IROs'!D30="", "", '2. List of IROs'!D30)</f>
        <v>Risk S1-1</v>
      </c>
      <c r="E27" s="89" t="str">
        <f>'4. DMA Social'!N28</f>
        <v/>
      </c>
      <c r="F27" s="89" t="str">
        <f>IF('2. List of IROs'!E30="", "", '2. List of IROs'!E30)</f>
        <v>Opportunity S1-1</v>
      </c>
      <c r="G27" s="118" t="str">
        <f>'4. DMA Social'!N31</f>
        <v/>
      </c>
      <c r="H27" s="130"/>
      <c r="I27" s="130"/>
      <c r="J27" s="130"/>
      <c r="K27" s="130"/>
      <c r="L27" s="130"/>
      <c r="M27" s="130"/>
      <c r="N27" s="130"/>
      <c r="O27" s="130"/>
      <c r="P27" s="130"/>
      <c r="Q27" s="130"/>
      <c r="R27" s="130"/>
      <c r="S27" s="130"/>
      <c r="T27" s="130"/>
      <c r="U27" s="130"/>
      <c r="V27" s="130"/>
      <c r="W27" s="130"/>
      <c r="X27" s="130"/>
      <c r="Y27" s="130"/>
      <c r="Z27" s="130"/>
    </row>
    <row r="28" ht="14.25" customHeight="1">
      <c r="A28" s="89"/>
      <c r="B28" s="89" t="str">
        <f>IF('2. List of IROs'!C31="", "", '2. List of IROs'!C31)</f>
        <v>Impact S1-2</v>
      </c>
      <c r="C28" s="89" t="str">
        <f>'4. DMA Social'!N6</f>
        <v/>
      </c>
      <c r="D28" s="89" t="str">
        <f>IF('2. List of IROs'!D31="", "", '2. List of IROs'!D31)</f>
        <v>Risk S1-2</v>
      </c>
      <c r="E28" s="89" t="str">
        <f>'4. DMA Social'!N29</f>
        <v/>
      </c>
      <c r="F28" s="89" t="str">
        <f>IF('2. List of IROs'!E31="", "", '2. List of IROs'!E31)</f>
        <v>Opportunity S1-2</v>
      </c>
      <c r="G28" s="118" t="str">
        <f>'4. DMA Social'!N32</f>
        <v/>
      </c>
      <c r="H28" s="130"/>
      <c r="I28" s="130"/>
      <c r="J28" s="130"/>
      <c r="K28" s="130"/>
      <c r="L28" s="130"/>
      <c r="M28" s="130"/>
      <c r="N28" s="130"/>
      <c r="O28" s="130"/>
      <c r="P28" s="130"/>
      <c r="Q28" s="130"/>
      <c r="R28" s="130"/>
      <c r="S28" s="130"/>
      <c r="T28" s="130"/>
      <c r="U28" s="130"/>
      <c r="V28" s="130"/>
      <c r="W28" s="130"/>
      <c r="X28" s="130"/>
      <c r="Y28" s="130"/>
      <c r="Z28" s="130"/>
    </row>
    <row r="29" ht="14.25" customHeight="1">
      <c r="A29" s="89"/>
      <c r="B29" s="89" t="str">
        <f>IF('2. List of IROs'!C32="", "", '2. List of IROs'!C32)</f>
        <v>Impact S1-3</v>
      </c>
      <c r="C29" s="89" t="str">
        <f>'4. DMA Social'!N7</f>
        <v/>
      </c>
      <c r="D29" s="89" t="str">
        <f>IF('2. List of IROs'!D32="", "", '2. List of IROs'!D32)</f>
        <v>Risk S1-3</v>
      </c>
      <c r="E29" s="89" t="str">
        <f>'4. DMA Social'!N30</f>
        <v/>
      </c>
      <c r="F29" s="89" t="str">
        <f>IF('2. List of IROs'!E32="", "", '2. List of IROs'!E32)</f>
        <v>Opportunity S1-3</v>
      </c>
      <c r="G29" s="118" t="str">
        <f>'4. DMA Social'!N33</f>
        <v/>
      </c>
      <c r="H29" s="130"/>
      <c r="I29" s="130"/>
      <c r="J29" s="130"/>
      <c r="K29" s="130"/>
      <c r="L29" s="130"/>
      <c r="M29" s="130"/>
      <c r="N29" s="130"/>
      <c r="O29" s="130"/>
      <c r="P29" s="130"/>
      <c r="Q29" s="130"/>
      <c r="R29" s="130"/>
      <c r="S29" s="130"/>
      <c r="T29" s="130"/>
      <c r="U29" s="130"/>
      <c r="V29" s="130"/>
      <c r="W29" s="130"/>
      <c r="X29" s="130"/>
      <c r="Y29" s="130"/>
      <c r="Z29" s="130"/>
    </row>
    <row r="30" ht="14.25" customHeight="1">
      <c r="A30" s="256" t="s">
        <v>181</v>
      </c>
      <c r="B30" s="132"/>
      <c r="C30" s="132"/>
      <c r="D30" s="132"/>
      <c r="E30" s="132"/>
      <c r="F30" s="132"/>
      <c r="G30" s="133"/>
      <c r="H30" s="130"/>
      <c r="I30" s="130"/>
      <c r="J30" s="130"/>
      <c r="K30" s="130"/>
      <c r="L30" s="130"/>
      <c r="M30" s="130"/>
      <c r="N30" s="130"/>
      <c r="O30" s="130"/>
      <c r="P30" s="130"/>
      <c r="Q30" s="130"/>
      <c r="R30" s="130"/>
      <c r="S30" s="130"/>
      <c r="T30" s="130"/>
      <c r="U30" s="130"/>
      <c r="V30" s="130"/>
      <c r="W30" s="130"/>
      <c r="X30" s="130"/>
      <c r="Y30" s="130"/>
      <c r="Z30" s="130"/>
    </row>
    <row r="31" ht="14.25" customHeight="1">
      <c r="A31" s="89"/>
      <c r="B31" s="89" t="str">
        <f>IF('2. List of IROs'!C34="", "", '2. List of IROs'!C34)</f>
        <v>Impact S2-1</v>
      </c>
      <c r="C31" s="89" t="str">
        <f>'4. DMA Social'!N9</f>
        <v/>
      </c>
      <c r="D31" s="89" t="str">
        <f>IF('2. List of IROs'!D34="", "", '2. List of IROs'!D34)</f>
        <v>Risk S2-1</v>
      </c>
      <c r="E31" s="89" t="str">
        <f>'4. DMA Social'!N35</f>
        <v/>
      </c>
      <c r="F31" s="89" t="str">
        <f>IF('2. List of IROs'!E34="", "", '2. List of IROs'!E34)</f>
        <v>Opportunity S2-1</v>
      </c>
      <c r="G31" s="118" t="str">
        <f>'4. DMA Social'!N38</f>
        <v/>
      </c>
      <c r="H31" s="130"/>
      <c r="I31" s="130"/>
      <c r="J31" s="130"/>
      <c r="K31" s="130"/>
      <c r="L31" s="130"/>
      <c r="M31" s="130"/>
      <c r="N31" s="130"/>
      <c r="O31" s="130"/>
      <c r="P31" s="130"/>
      <c r="Q31" s="130"/>
      <c r="R31" s="130"/>
      <c r="S31" s="130"/>
      <c r="T31" s="130"/>
      <c r="U31" s="130"/>
      <c r="V31" s="130"/>
      <c r="W31" s="130"/>
      <c r="X31" s="130"/>
      <c r="Y31" s="130"/>
      <c r="Z31" s="130"/>
    </row>
    <row r="32" ht="14.25" customHeight="1">
      <c r="A32" s="89"/>
      <c r="B32" s="89" t="str">
        <f>IF('2. List of IROs'!C35="", "", '2. List of IROs'!C35)</f>
        <v>Impact S2-2</v>
      </c>
      <c r="C32" s="89" t="str">
        <f>'4. DMA Social'!N10</f>
        <v/>
      </c>
      <c r="D32" s="89" t="str">
        <f>IF('2. List of IROs'!D35="", "", '2. List of IROs'!D35)</f>
        <v>Risk S2-2</v>
      </c>
      <c r="E32" s="89" t="str">
        <f>'4. DMA Social'!N36</f>
        <v/>
      </c>
      <c r="F32" s="89" t="str">
        <f>IF('2. List of IROs'!E35="", "", '2. List of IROs'!E35)</f>
        <v>Opportunity S2-2</v>
      </c>
      <c r="G32" s="118" t="str">
        <f>'4. DMA Social'!N39</f>
        <v/>
      </c>
      <c r="H32" s="130"/>
      <c r="I32" s="130"/>
      <c r="J32" s="130"/>
      <c r="K32" s="130"/>
      <c r="L32" s="130"/>
      <c r="M32" s="130"/>
      <c r="N32" s="130"/>
      <c r="O32" s="130"/>
      <c r="P32" s="130"/>
      <c r="Q32" s="130"/>
      <c r="R32" s="130"/>
      <c r="S32" s="130"/>
      <c r="T32" s="130"/>
      <c r="U32" s="130"/>
      <c r="V32" s="130"/>
      <c r="W32" s="130"/>
      <c r="X32" s="130"/>
      <c r="Y32" s="130"/>
      <c r="Z32" s="130"/>
    </row>
    <row r="33" ht="14.25" customHeight="1">
      <c r="A33" s="89"/>
      <c r="B33" s="89" t="str">
        <f>IF('2. List of IROs'!C36="", "", '2. List of IROs'!C36)</f>
        <v>Impact S2-3</v>
      </c>
      <c r="C33" s="89" t="str">
        <f>'4. DMA Social'!N11</f>
        <v/>
      </c>
      <c r="D33" s="89" t="str">
        <f>IF('2. List of IROs'!D36="", "", '2. List of IROs'!D36)</f>
        <v>Risk S2-3</v>
      </c>
      <c r="E33" s="89" t="str">
        <f>'4. DMA Social'!N37</f>
        <v/>
      </c>
      <c r="F33" s="89" t="str">
        <f>IF('2. List of IROs'!E36="", "", '2. List of IROs'!E36)</f>
        <v>Opportunity S2-3</v>
      </c>
      <c r="G33" s="118" t="str">
        <f>'4. DMA Social'!N40</f>
        <v/>
      </c>
      <c r="H33" s="130"/>
      <c r="I33" s="130"/>
      <c r="J33" s="130"/>
      <c r="K33" s="130"/>
      <c r="L33" s="130"/>
      <c r="M33" s="130"/>
      <c r="N33" s="130"/>
      <c r="O33" s="130"/>
      <c r="P33" s="130"/>
      <c r="Q33" s="130"/>
      <c r="R33" s="130"/>
      <c r="S33" s="130"/>
      <c r="T33" s="130"/>
      <c r="U33" s="130"/>
      <c r="V33" s="130"/>
      <c r="W33" s="130"/>
      <c r="X33" s="130"/>
      <c r="Y33" s="130"/>
      <c r="Z33" s="130"/>
    </row>
    <row r="34" ht="14.25" customHeight="1">
      <c r="A34" s="256" t="s">
        <v>191</v>
      </c>
      <c r="B34" s="132"/>
      <c r="C34" s="132"/>
      <c r="D34" s="132"/>
      <c r="E34" s="132"/>
      <c r="F34" s="132"/>
      <c r="G34" s="133"/>
      <c r="H34" s="130"/>
      <c r="I34" s="130"/>
      <c r="J34" s="130"/>
      <c r="K34" s="130"/>
      <c r="L34" s="130"/>
      <c r="M34" s="130"/>
      <c r="N34" s="130"/>
      <c r="O34" s="130"/>
      <c r="P34" s="130"/>
      <c r="Q34" s="130"/>
      <c r="R34" s="130"/>
      <c r="S34" s="130"/>
      <c r="T34" s="130"/>
      <c r="U34" s="130"/>
      <c r="V34" s="130"/>
      <c r="W34" s="130"/>
      <c r="X34" s="130"/>
      <c r="Y34" s="130"/>
      <c r="Z34" s="130"/>
    </row>
    <row r="35" ht="14.25" customHeight="1">
      <c r="A35" s="89"/>
      <c r="B35" s="89" t="str">
        <f>IF('2. List of IROs'!C38="", "", '2. List of IROs'!C38)</f>
        <v>Impact S3-1</v>
      </c>
      <c r="C35" s="89" t="str">
        <f>'4. DMA Social'!N13</f>
        <v/>
      </c>
      <c r="D35" s="89" t="str">
        <f>IF('2. List of IROs'!D38="", "", '2. List of IROs'!D38)</f>
        <v>Risk S3-1</v>
      </c>
      <c r="E35" s="89" t="str">
        <f>'4. DMA Social'!N42</f>
        <v/>
      </c>
      <c r="F35" s="89" t="str">
        <f>IF('2. List of IROs'!E38="", "", '2. List of IROs'!E38)</f>
        <v>Opportunity S3-1</v>
      </c>
      <c r="G35" s="118" t="str">
        <f>'4. DMA Social'!N45</f>
        <v/>
      </c>
      <c r="H35" s="130"/>
      <c r="I35" s="130"/>
      <c r="J35" s="130"/>
      <c r="K35" s="130"/>
      <c r="L35" s="130"/>
      <c r="M35" s="130"/>
      <c r="N35" s="130"/>
      <c r="O35" s="130"/>
      <c r="P35" s="130"/>
      <c r="Q35" s="130"/>
      <c r="R35" s="130"/>
      <c r="S35" s="130"/>
      <c r="T35" s="130"/>
      <c r="U35" s="130"/>
      <c r="V35" s="130"/>
      <c r="W35" s="130"/>
      <c r="X35" s="130"/>
      <c r="Y35" s="130"/>
      <c r="Z35" s="130"/>
    </row>
    <row r="36" ht="14.25" customHeight="1">
      <c r="A36" s="89"/>
      <c r="B36" s="89" t="str">
        <f>IF('2. List of IROs'!C39="", "", '2. List of IROs'!C39)</f>
        <v>Impact S3-2</v>
      </c>
      <c r="C36" s="89" t="str">
        <f>'4. DMA Social'!N14</f>
        <v/>
      </c>
      <c r="D36" s="89" t="str">
        <f>IF('2. List of IROs'!D39="", "", '2. List of IROs'!D39)</f>
        <v>Risk S3-2</v>
      </c>
      <c r="E36" s="89" t="str">
        <f>'4. DMA Social'!N43</f>
        <v/>
      </c>
      <c r="F36" s="89" t="str">
        <f>IF('2. List of IROs'!E39="", "", '2. List of IROs'!E39)</f>
        <v>Opportunity S3-2</v>
      </c>
      <c r="G36" s="118" t="str">
        <f>'4. DMA Social'!N46</f>
        <v/>
      </c>
      <c r="H36" s="130"/>
      <c r="I36" s="130"/>
      <c r="J36" s="130"/>
      <c r="K36" s="130"/>
      <c r="L36" s="130"/>
      <c r="M36" s="130"/>
      <c r="N36" s="130"/>
      <c r="O36" s="130"/>
      <c r="P36" s="130"/>
      <c r="Q36" s="130"/>
      <c r="R36" s="130"/>
      <c r="S36" s="130"/>
      <c r="T36" s="130"/>
      <c r="U36" s="130"/>
      <c r="V36" s="130"/>
      <c r="W36" s="130"/>
      <c r="X36" s="130"/>
      <c r="Y36" s="130"/>
      <c r="Z36" s="130"/>
    </row>
    <row r="37" ht="14.25" customHeight="1">
      <c r="A37" s="89"/>
      <c r="B37" s="89" t="str">
        <f>IF('2. List of IROs'!C40="", "", '2. List of IROs'!C40)</f>
        <v>Impact S3-3</v>
      </c>
      <c r="C37" s="89" t="str">
        <f>'4. DMA Social'!N15</f>
        <v/>
      </c>
      <c r="D37" s="89" t="str">
        <f>IF('2. List of IROs'!D40="", "", '2. List of IROs'!D40)</f>
        <v>Risk S3-3</v>
      </c>
      <c r="E37" s="89" t="str">
        <f>'4. DMA Social'!N44</f>
        <v/>
      </c>
      <c r="F37" s="89" t="str">
        <f>IF('2. List of IROs'!E40="", "", '2. List of IROs'!E40)</f>
        <v>Opportunity S3-3</v>
      </c>
      <c r="G37" s="118" t="str">
        <f>'4. DMA Social'!N47</f>
        <v/>
      </c>
      <c r="H37" s="130"/>
      <c r="I37" s="130"/>
      <c r="J37" s="130"/>
      <c r="K37" s="130"/>
      <c r="L37" s="130"/>
      <c r="M37" s="130"/>
      <c r="N37" s="130"/>
      <c r="O37" s="130"/>
      <c r="P37" s="130"/>
      <c r="Q37" s="130"/>
      <c r="R37" s="130"/>
      <c r="S37" s="130"/>
      <c r="T37" s="130"/>
      <c r="U37" s="130"/>
      <c r="V37" s="130"/>
      <c r="W37" s="130"/>
      <c r="X37" s="130"/>
      <c r="Y37" s="130"/>
      <c r="Z37" s="130"/>
    </row>
    <row r="38" ht="14.25" customHeight="1">
      <c r="A38" s="256" t="s">
        <v>201</v>
      </c>
      <c r="B38" s="132"/>
      <c r="C38" s="132"/>
      <c r="D38" s="132"/>
      <c r="E38" s="132"/>
      <c r="F38" s="132"/>
      <c r="G38" s="133"/>
      <c r="H38" s="130"/>
      <c r="I38" s="130"/>
      <c r="J38" s="130"/>
      <c r="K38" s="130"/>
      <c r="L38" s="130"/>
      <c r="M38" s="130"/>
      <c r="N38" s="130"/>
      <c r="O38" s="130"/>
      <c r="P38" s="130"/>
      <c r="Q38" s="130"/>
      <c r="R38" s="130"/>
      <c r="S38" s="130"/>
      <c r="T38" s="130"/>
      <c r="U38" s="130"/>
      <c r="V38" s="130"/>
      <c r="W38" s="130"/>
      <c r="X38" s="130"/>
      <c r="Y38" s="130"/>
      <c r="Z38" s="130"/>
    </row>
    <row r="39" ht="14.25" customHeight="1">
      <c r="A39" s="89"/>
      <c r="B39" s="89" t="str">
        <f>IF('2. List of IROs'!C42="", "", '2. List of IROs'!C42)</f>
        <v>Impact S4-1</v>
      </c>
      <c r="C39" s="89" t="str">
        <f>'4. DMA Social'!N17</f>
        <v/>
      </c>
      <c r="D39" s="89" t="str">
        <f>IF('2. List of IROs'!D42="", "", '2. List of IROs'!D42)</f>
        <v>Risk S4-1</v>
      </c>
      <c r="E39" s="89" t="str">
        <f>'4. DMA Social'!N49</f>
        <v/>
      </c>
      <c r="F39" s="89" t="str">
        <f>IF('2. List of IROs'!E42="", "", '2. List of IROs'!E42)</f>
        <v>Opportunity S4-1</v>
      </c>
      <c r="G39" s="118" t="str">
        <f>'4. DMA Social'!N52</f>
        <v/>
      </c>
      <c r="H39" s="130"/>
      <c r="I39" s="130"/>
      <c r="J39" s="130"/>
      <c r="K39" s="130"/>
      <c r="L39" s="130"/>
      <c r="M39" s="130"/>
      <c r="N39" s="130"/>
      <c r="O39" s="130"/>
      <c r="P39" s="130"/>
      <c r="Q39" s="130"/>
      <c r="R39" s="130"/>
      <c r="S39" s="130"/>
      <c r="T39" s="130"/>
      <c r="U39" s="130"/>
      <c r="V39" s="130"/>
      <c r="W39" s="130"/>
      <c r="X39" s="130"/>
      <c r="Y39" s="130"/>
      <c r="Z39" s="130"/>
    </row>
    <row r="40" ht="14.25" customHeight="1">
      <c r="A40" s="89"/>
      <c r="B40" s="89" t="str">
        <f>IF('2. List of IROs'!C43="", "", '2. List of IROs'!C43)</f>
        <v>Impact S4-2</v>
      </c>
      <c r="C40" s="89" t="str">
        <f>'4. DMA Social'!N18</f>
        <v/>
      </c>
      <c r="D40" s="89" t="str">
        <f>IF('2. List of IROs'!D43="", "", '2. List of IROs'!D43)</f>
        <v>Risk S4-2</v>
      </c>
      <c r="E40" s="89" t="str">
        <f>'4. DMA Social'!N50</f>
        <v/>
      </c>
      <c r="F40" s="89" t="str">
        <f>IF('2. List of IROs'!E43="", "", '2. List of IROs'!E43)</f>
        <v>Opportunity S4-2</v>
      </c>
      <c r="G40" s="118" t="str">
        <f>'4. DMA Social'!N53</f>
        <v/>
      </c>
      <c r="H40" s="130"/>
      <c r="I40" s="130"/>
      <c r="J40" s="130"/>
      <c r="K40" s="130"/>
      <c r="L40" s="130"/>
      <c r="M40" s="130"/>
      <c r="N40" s="130"/>
      <c r="O40" s="130"/>
      <c r="P40" s="130"/>
      <c r="Q40" s="130"/>
      <c r="R40" s="130"/>
      <c r="S40" s="130"/>
      <c r="T40" s="130"/>
      <c r="U40" s="130"/>
      <c r="V40" s="130"/>
      <c r="W40" s="130"/>
      <c r="X40" s="130"/>
      <c r="Y40" s="130"/>
      <c r="Z40" s="130"/>
    </row>
    <row r="41" ht="14.25" customHeight="1">
      <c r="A41" s="91"/>
      <c r="B41" s="91" t="str">
        <f>IF('2. List of IROs'!C44="", "", '2. List of IROs'!C44)</f>
        <v>Impact S4-3</v>
      </c>
      <c r="C41" s="91" t="str">
        <f>'4. DMA Social'!N19</f>
        <v/>
      </c>
      <c r="D41" s="89" t="str">
        <f>IF('2. List of IROs'!D44="", "", '2. List of IROs'!D44)</f>
        <v>Risk S4-3</v>
      </c>
      <c r="E41" s="89" t="str">
        <f>'4. DMA Social'!N51</f>
        <v/>
      </c>
      <c r="F41" s="89" t="str">
        <f>IF('2. List of IROs'!E44="", "", '2. List of IROs'!E44)</f>
        <v>Opportunity S4-3 </v>
      </c>
      <c r="G41" s="118" t="str">
        <f>'4. DMA Social'!N54</f>
        <v/>
      </c>
      <c r="H41" s="130"/>
      <c r="I41" s="130"/>
      <c r="J41" s="130"/>
      <c r="K41" s="130"/>
      <c r="L41" s="130"/>
      <c r="M41" s="130"/>
      <c r="N41" s="130"/>
      <c r="O41" s="130"/>
      <c r="P41" s="130"/>
      <c r="Q41" s="130"/>
      <c r="R41" s="130"/>
      <c r="S41" s="130"/>
      <c r="T41" s="130"/>
      <c r="U41" s="130"/>
      <c r="V41" s="130"/>
      <c r="W41" s="130"/>
      <c r="X41" s="130"/>
      <c r="Y41" s="130"/>
      <c r="Z41" s="130"/>
    </row>
    <row r="42" ht="14.25" customHeight="1">
      <c r="A42" s="257" t="s">
        <v>84</v>
      </c>
      <c r="B42" s="258"/>
      <c r="C42" s="258"/>
      <c r="D42" s="258"/>
      <c r="E42" s="258"/>
      <c r="F42" s="258"/>
      <c r="G42" s="259"/>
      <c r="H42" s="130"/>
      <c r="I42" s="130"/>
      <c r="J42" s="130"/>
      <c r="K42" s="130"/>
      <c r="L42" s="130"/>
      <c r="M42" s="130"/>
      <c r="N42" s="130"/>
      <c r="O42" s="130"/>
      <c r="P42" s="130"/>
      <c r="Q42" s="130"/>
      <c r="R42" s="130"/>
      <c r="S42" s="130"/>
      <c r="T42" s="130"/>
      <c r="U42" s="130"/>
      <c r="V42" s="130"/>
      <c r="W42" s="130"/>
      <c r="X42" s="130"/>
      <c r="Y42" s="130"/>
      <c r="Z42" s="130"/>
    </row>
    <row r="43" ht="14.25" customHeight="1">
      <c r="A43" s="260" t="s">
        <v>211</v>
      </c>
      <c r="B43" s="189"/>
      <c r="C43" s="189"/>
      <c r="D43" s="189"/>
      <c r="E43" s="189"/>
      <c r="F43" s="189"/>
      <c r="G43" s="190"/>
      <c r="H43" s="130"/>
      <c r="I43" s="130"/>
      <c r="J43" s="130"/>
      <c r="K43" s="130"/>
      <c r="L43" s="130"/>
      <c r="M43" s="130"/>
      <c r="N43" s="130"/>
      <c r="O43" s="130"/>
      <c r="P43" s="130"/>
      <c r="Q43" s="130"/>
      <c r="R43" s="130"/>
      <c r="S43" s="130"/>
      <c r="T43" s="130"/>
      <c r="U43" s="130"/>
      <c r="V43" s="130"/>
      <c r="W43" s="130"/>
      <c r="X43" s="130"/>
      <c r="Y43" s="130"/>
      <c r="Z43" s="130"/>
    </row>
    <row r="44" ht="14.25" customHeight="1">
      <c r="A44" s="89"/>
      <c r="B44" s="89" t="str">
        <f>IF('2. List of IROs'!C46="", "", '2. List of IROs'!C46)</f>
        <v>Impact G1-1</v>
      </c>
      <c r="C44" s="89" t="str">
        <f>'5. DMA Governance'!$N$5</f>
        <v>no</v>
      </c>
      <c r="D44" s="89" t="str">
        <f>IF('2. List of IROs'!D46="", "", '2. List of IROs'!D46)</f>
        <v>Risk G1-1</v>
      </c>
      <c r="E44" s="89" t="str">
        <f>'5. DMA Governance'!N12</f>
        <v/>
      </c>
      <c r="F44" s="89" t="str">
        <f>IF('2. List of IROs'!E46="", "", '2. List of IROs'!E46)</f>
        <v>Opportunity G1-1</v>
      </c>
      <c r="G44" s="118" t="str">
        <f>'5. DMA Governance'!$N$15</f>
        <v/>
      </c>
      <c r="H44" s="130"/>
      <c r="I44" s="130"/>
      <c r="J44" s="130"/>
      <c r="K44" s="130"/>
      <c r="L44" s="130"/>
      <c r="M44" s="130"/>
      <c r="N44" s="130"/>
      <c r="O44" s="130"/>
      <c r="P44" s="130"/>
      <c r="Q44" s="130"/>
      <c r="R44" s="130"/>
      <c r="S44" s="130"/>
      <c r="T44" s="130"/>
      <c r="U44" s="130"/>
      <c r="V44" s="130"/>
      <c r="W44" s="130"/>
      <c r="X44" s="130"/>
      <c r="Y44" s="130"/>
      <c r="Z44" s="130"/>
    </row>
    <row r="45" ht="14.25" customHeight="1">
      <c r="A45" s="89"/>
      <c r="B45" s="89" t="str">
        <f>IF('2. List of IROs'!C47="", "", '2. List of IROs'!C47)</f>
        <v>Impact G1-2</v>
      </c>
      <c r="C45" s="89" t="str">
        <f>'5. DMA Governance'!$N$6</f>
        <v/>
      </c>
      <c r="D45" s="89" t="str">
        <f>IF('2. List of IROs'!D47="", "", '2. List of IROs'!D47)</f>
        <v>Risk G1-2</v>
      </c>
      <c r="E45" s="89" t="str">
        <f>'5. DMA Governance'!N13</f>
        <v/>
      </c>
      <c r="F45" s="89" t="str">
        <f>IF('2. List of IROs'!E47="", "", '2. List of IROs'!E47)</f>
        <v>Opportunity G1-2</v>
      </c>
      <c r="G45" s="118" t="str">
        <f>'5. DMA Governance'!$N$16</f>
        <v/>
      </c>
      <c r="H45" s="130"/>
      <c r="I45" s="130"/>
      <c r="J45" s="130"/>
      <c r="K45" s="130"/>
      <c r="L45" s="130"/>
      <c r="M45" s="130"/>
      <c r="N45" s="130"/>
      <c r="O45" s="130"/>
      <c r="P45" s="130"/>
      <c r="Q45" s="130"/>
      <c r="R45" s="130"/>
      <c r="S45" s="130"/>
      <c r="T45" s="130"/>
      <c r="U45" s="130"/>
      <c r="V45" s="130"/>
      <c r="W45" s="130"/>
      <c r="X45" s="130"/>
      <c r="Y45" s="130"/>
      <c r="Z45" s="130"/>
    </row>
    <row r="46" ht="14.25" customHeight="1">
      <c r="A46" s="127"/>
      <c r="B46" s="127" t="str">
        <f>IF('2. List of IROs'!C48="", "", '2. List of IROs'!C48)</f>
        <v>Impact G1-3</v>
      </c>
      <c r="C46" s="127" t="str">
        <f>'5. DMA Governance'!$N$7</f>
        <v/>
      </c>
      <c r="D46" s="127" t="str">
        <f>IF('2. List of IROs'!D48="", "", '2. List of IROs'!D48)</f>
        <v>Risk G1-3</v>
      </c>
      <c r="E46" s="91" t="str">
        <f>'5. DMA Governance'!N14</f>
        <v/>
      </c>
      <c r="F46" s="127" t="str">
        <f>IF('2. List of IROs'!E48="", "", '2. List of IROs'!E48)</f>
        <v>Opportunity G1-3 </v>
      </c>
      <c r="G46" s="128" t="str">
        <f>'5. DMA Governance'!$N$17</f>
        <v/>
      </c>
      <c r="H46" s="130"/>
      <c r="I46" s="130"/>
      <c r="J46" s="130"/>
      <c r="K46" s="130"/>
      <c r="L46" s="130"/>
      <c r="M46" s="130"/>
      <c r="N46" s="130"/>
      <c r="O46" s="130"/>
      <c r="P46" s="130"/>
      <c r="Q46" s="130"/>
      <c r="R46" s="130"/>
      <c r="S46" s="130"/>
      <c r="T46" s="130"/>
      <c r="U46" s="130"/>
      <c r="V46" s="130"/>
      <c r="W46" s="130"/>
      <c r="X46" s="130"/>
      <c r="Y46" s="130"/>
      <c r="Z46" s="130"/>
    </row>
    <row r="47" ht="14.25" customHeight="1">
      <c r="A47" s="130"/>
      <c r="B47" s="130"/>
      <c r="C47" s="130"/>
      <c r="D47" s="130"/>
      <c r="E47" s="261"/>
      <c r="F47" s="130"/>
      <c r="G47" s="130"/>
      <c r="H47" s="130"/>
      <c r="I47" s="130"/>
      <c r="J47" s="130"/>
      <c r="K47" s="130"/>
      <c r="L47" s="130"/>
      <c r="M47" s="130"/>
      <c r="N47" s="130"/>
      <c r="O47" s="130"/>
      <c r="P47" s="130"/>
      <c r="Q47" s="130"/>
      <c r="R47" s="130"/>
      <c r="S47" s="130"/>
      <c r="T47" s="130"/>
      <c r="U47" s="130"/>
      <c r="V47" s="130"/>
      <c r="W47" s="130"/>
      <c r="X47" s="130"/>
      <c r="Y47" s="130"/>
      <c r="Z47" s="130"/>
    </row>
    <row r="48" ht="14.2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ht="14.2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ht="14.2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ht="14.2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ht="14.2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ht="14.2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ht="14.2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ht="14.2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ht="14.2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ht="14.2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ht="14.2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ht="14.2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ht="14.2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ht="14.2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ht="14.2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ht="14.2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ht="14.2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ht="14.2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ht="14.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ht="14.2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ht="14.2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ht="14.2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ht="14.2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ht="14.2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ht="14.2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ht="14.2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ht="14.2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ht="14.2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ht="14.2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ht="14.2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ht="14.2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ht="14.2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ht="14.2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ht="14.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ht="14.2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ht="14.2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ht="14.2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ht="14.2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ht="14.2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ht="14.2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ht="14.2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ht="14.2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ht="14.2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ht="14.2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ht="14.2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ht="14.2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ht="14.2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ht="14.2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ht="14.2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ht="14.2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ht="14.2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ht="14.2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ht="14.2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ht="14.2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ht="14.2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ht="14.2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ht="14.2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ht="14.2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ht="14.2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ht="14.2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ht="14.2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ht="14.2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ht="14.2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ht="14.2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ht="14.2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ht="14.2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ht="14.2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ht="14.2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ht="14.2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ht="14.2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ht="14.2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ht="14.2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ht="14.2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ht="14.2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ht="14.2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ht="14.2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ht="14.2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ht="14.2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ht="14.2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ht="14.2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ht="14.2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ht="14.2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ht="14.2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ht="14.2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ht="14.2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ht="14.2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ht="14.2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ht="14.2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ht="14.2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ht="14.2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ht="14.2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ht="14.2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ht="14.2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ht="14.2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ht="14.2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ht="14.2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ht="14.2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ht="14.2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ht="14.2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ht="14.2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ht="14.2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ht="14.2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ht="14.2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ht="14.2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ht="14.2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ht="14.2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ht="14.2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ht="14.2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ht="14.2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ht="14.2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ht="14.2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ht="14.2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ht="14.2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ht="14.2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ht="14.2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ht="14.2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ht="14.2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ht="14.2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ht="14.2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ht="14.2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ht="14.2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ht="14.2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ht="14.2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ht="14.2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ht="14.2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ht="14.2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ht="14.2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ht="14.2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ht="14.2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ht="14.2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ht="14.2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ht="14.2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ht="14.2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ht="14.2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ht="14.2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ht="14.2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ht="14.2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ht="14.2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ht="14.2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ht="14.2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ht="14.2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ht="14.2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ht="14.2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ht="14.2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ht="14.2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ht="14.2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ht="14.2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ht="14.2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ht="14.2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ht="14.2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ht="14.2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ht="14.2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ht="14.2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ht="14.2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ht="14.2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ht="14.2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ht="14.2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ht="14.2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ht="14.2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ht="14.2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ht="14.2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ht="14.2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ht="14.2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ht="14.2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ht="14.2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ht="14.2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ht="14.2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ht="14.2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ht="14.2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ht="14.2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ht="14.2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ht="14.2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ht="14.2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ht="14.2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ht="14.2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ht="14.2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ht="14.2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ht="14.2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ht="14.2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ht="14.2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ht="14.2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ht="14.2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ht="14.2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ht="14.2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ht="14.2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ht="14.2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ht="14.2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ht="14.2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ht="14.2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ht="14.2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ht="14.2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ht="14.2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ht="14.2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ht="14.2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ht="14.2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ht="14.2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ht="14.2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ht="14.2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ht="14.2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ht="14.2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ht="14.2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ht="14.2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ht="14.2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ht="14.2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ht="14.2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ht="14.2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ht="14.2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ht="14.2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ht="14.2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ht="14.2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ht="14.2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ht="14.2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ht="14.2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ht="14.2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ht="14.2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ht="14.2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ht="14.2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ht="14.2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ht="14.2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ht="14.2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ht="14.2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ht="14.2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ht="14.2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ht="14.2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ht="14.2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ht="14.2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ht="14.2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ht="14.2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ht="14.2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ht="14.2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ht="14.2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ht="14.2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ht="14.2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ht="14.2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ht="14.2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ht="14.2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ht="14.2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ht="14.2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ht="14.2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ht="14.2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ht="14.2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ht="14.2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ht="14.2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ht="14.2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ht="14.2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ht="14.2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ht="14.2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ht="14.2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ht="14.2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ht="14.2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ht="14.2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ht="14.2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ht="14.2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ht="14.2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ht="14.2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ht="14.2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ht="14.2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ht="14.2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ht="14.2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ht="14.2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ht="14.2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ht="14.2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ht="14.2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ht="14.2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ht="14.2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ht="14.2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ht="14.2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ht="14.2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ht="14.2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ht="14.2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ht="14.2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ht="14.2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ht="14.2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ht="14.2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ht="14.2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ht="14.2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ht="14.2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ht="14.2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ht="14.2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ht="14.2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ht="14.2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ht="14.2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ht="14.2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ht="14.2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ht="14.2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ht="14.2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ht="14.2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ht="14.2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ht="14.2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ht="14.2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ht="14.2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ht="14.2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ht="14.2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ht="14.2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ht="14.2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ht="14.2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ht="14.2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ht="14.2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ht="14.2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ht="14.2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ht="14.2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ht="14.2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ht="14.2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ht="14.2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ht="14.2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ht="14.2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ht="14.2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ht="14.2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ht="14.2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ht="14.2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ht="14.2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ht="14.2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ht="14.2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ht="14.2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ht="14.2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ht="14.2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ht="14.2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ht="14.2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ht="14.2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ht="14.2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ht="14.2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ht="14.2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ht="14.2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ht="14.2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ht="14.2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ht="14.2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ht="14.2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ht="14.2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ht="14.2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ht="14.2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ht="14.2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ht="14.2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ht="14.2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ht="14.2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ht="14.2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ht="14.2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ht="14.2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ht="14.2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ht="14.2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ht="14.2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ht="14.2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ht="14.2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ht="14.2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ht="14.2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ht="14.2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ht="14.2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ht="14.2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ht="14.2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ht="14.2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ht="14.2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ht="14.2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ht="14.2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ht="14.2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ht="14.2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ht="14.2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ht="14.2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ht="14.2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ht="14.2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ht="14.2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ht="14.2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ht="14.2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ht="14.2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ht="14.2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ht="14.2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ht="14.2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ht="14.2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ht="14.2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ht="14.2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ht="14.2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ht="14.2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ht="14.2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ht="14.2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ht="14.2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ht="14.2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ht="14.2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ht="14.2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ht="14.2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ht="14.2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ht="14.2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ht="14.2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ht="14.2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ht="14.2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ht="14.2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ht="14.2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ht="14.2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ht="14.2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ht="14.2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ht="14.2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ht="14.2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ht="14.2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ht="14.2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ht="14.2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ht="14.2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ht="14.2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ht="14.2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ht="14.2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ht="14.2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ht="14.2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ht="14.2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ht="14.2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ht="14.2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ht="14.2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ht="14.2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ht="14.2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ht="14.2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ht="14.2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ht="14.2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ht="14.2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ht="14.2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ht="14.2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ht="14.2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ht="14.2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ht="14.2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ht="14.2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ht="14.2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ht="14.2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ht="14.2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ht="14.2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ht="14.2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ht="14.2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ht="14.2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ht="14.2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ht="14.2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ht="14.2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ht="14.2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ht="14.2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ht="14.2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ht="14.2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ht="14.2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ht="14.2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ht="14.2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ht="14.2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ht="14.2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ht="14.2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ht="14.2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ht="14.2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ht="14.2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ht="14.2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ht="14.2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ht="14.2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ht="14.2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ht="14.2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ht="14.2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ht="14.2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ht="14.2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ht="14.2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ht="14.2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ht="14.2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ht="14.2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ht="14.2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ht="14.2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ht="14.2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ht="14.2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ht="14.2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ht="14.2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ht="14.2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ht="14.2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ht="14.2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ht="14.2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ht="14.2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ht="14.2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ht="14.2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ht="14.2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ht="14.2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ht="14.2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ht="14.2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ht="14.2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ht="14.2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ht="14.2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ht="14.2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ht="14.2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ht="14.2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ht="14.2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ht="14.2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ht="14.2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ht="14.2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ht="14.2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ht="14.2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ht="14.2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ht="14.2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ht="14.2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ht="14.2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ht="14.2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ht="14.2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ht="14.2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ht="14.2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ht="14.2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ht="14.2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ht="14.2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ht="14.2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ht="14.2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ht="14.2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ht="14.2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ht="14.2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ht="14.2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ht="14.2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ht="14.2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ht="14.2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ht="14.2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ht="14.2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ht="14.2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ht="14.2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ht="14.2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ht="14.2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ht="14.2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ht="14.2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ht="14.2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ht="14.2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ht="14.2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ht="14.2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ht="14.2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ht="14.2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ht="14.2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ht="14.2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ht="14.2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ht="14.2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ht="14.2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ht="14.2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ht="14.2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ht="14.2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ht="14.2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ht="14.2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ht="14.2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ht="14.2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ht="14.2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ht="14.2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ht="14.2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ht="14.2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ht="14.2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ht="14.2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ht="14.2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ht="14.2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ht="14.2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ht="14.2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ht="14.2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ht="14.2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ht="14.2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ht="14.2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ht="14.2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ht="14.2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ht="14.2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ht="14.2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ht="14.2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ht="14.2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ht="14.2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ht="14.2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ht="14.2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ht="14.2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ht="14.2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ht="14.2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ht="14.2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ht="14.2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ht="14.2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ht="14.2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ht="14.2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ht="14.2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ht="14.2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ht="14.2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ht="14.2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ht="14.2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ht="14.2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ht="14.2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ht="14.2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ht="14.2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ht="14.2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ht="14.2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ht="14.2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ht="14.2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ht="14.2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ht="14.2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ht="14.2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ht="14.2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ht="14.2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ht="14.2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ht="14.2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ht="14.2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ht="14.2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ht="14.2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ht="14.2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ht="14.2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ht="14.2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ht="14.2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ht="14.2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ht="14.2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ht="14.2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ht="14.2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ht="14.2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ht="14.2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ht="14.2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ht="14.2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ht="14.2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ht="14.2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ht="14.2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ht="14.2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ht="14.2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ht="14.2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ht="14.2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ht="14.2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ht="14.2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ht="14.2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ht="14.2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ht="14.2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ht="14.2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ht="14.2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ht="14.2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ht="14.2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ht="14.2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ht="14.2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ht="14.2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ht="14.2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ht="14.2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ht="14.2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ht="14.2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ht="14.2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ht="14.2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ht="14.2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ht="14.2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ht="14.2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ht="14.2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ht="14.2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ht="14.2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ht="14.2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ht="14.2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ht="14.2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ht="14.2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ht="14.2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ht="14.2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ht="14.2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ht="14.2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ht="14.2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ht="14.2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ht="14.2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ht="14.2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ht="14.2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ht="14.2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ht="14.2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ht="14.2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ht="14.2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ht="14.2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ht="14.2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ht="14.2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ht="14.2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ht="14.2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ht="14.2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ht="14.2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ht="14.2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ht="14.2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ht="14.2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ht="14.2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ht="14.2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ht="14.2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ht="14.2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ht="14.2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ht="14.2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ht="14.2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ht="14.2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ht="14.2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ht="14.2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ht="14.2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ht="14.2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ht="14.2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ht="14.2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ht="14.2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ht="14.2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ht="14.2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ht="14.2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ht="14.2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ht="14.2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ht="14.2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ht="14.2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ht="14.2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ht="14.2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ht="14.2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ht="14.2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ht="14.2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ht="14.2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ht="14.2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ht="14.2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ht="14.2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ht="14.2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ht="14.2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ht="14.2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ht="14.2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ht="14.2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ht="14.2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ht="14.2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ht="14.2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ht="14.2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ht="14.2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ht="14.2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ht="14.2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ht="14.2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ht="14.2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ht="14.2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ht="14.2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ht="14.2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ht="14.2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ht="14.2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ht="14.2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ht="14.2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ht="14.2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ht="14.2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ht="14.2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ht="14.2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ht="14.2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ht="14.2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ht="14.2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ht="14.2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ht="14.2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ht="14.2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ht="14.2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ht="14.2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ht="14.2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ht="14.2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ht="14.2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ht="14.2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ht="14.2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ht="14.2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ht="14.2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ht="14.2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ht="14.2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ht="14.2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ht="14.2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ht="14.2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ht="14.2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ht="14.2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ht="14.2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ht="14.2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ht="14.2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ht="14.2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ht="14.2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ht="14.2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ht="14.2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ht="14.2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ht="14.2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ht="14.2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ht="14.2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ht="14.2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ht="14.2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ht="14.2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ht="14.2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ht="14.2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ht="14.2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ht="14.2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ht="14.2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ht="14.2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ht="14.2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ht="14.2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ht="14.2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ht="14.2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ht="14.2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ht="14.2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ht="14.2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ht="14.2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ht="14.2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ht="14.2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ht="14.2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ht="14.2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ht="14.2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ht="14.2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ht="14.2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ht="14.2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ht="14.2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ht="14.2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ht="14.2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ht="14.2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ht="14.2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ht="14.2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ht="14.2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ht="14.2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ht="14.2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ht="14.2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ht="14.2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ht="14.2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ht="14.2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ht="14.2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ht="14.2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ht="14.2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ht="14.2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ht="14.2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ht="14.2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ht="14.2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ht="14.2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ht="14.2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ht="14.2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ht="14.2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ht="14.2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ht="14.2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ht="14.2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ht="14.2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ht="14.2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ht="14.2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ht="14.2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ht="14.2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ht="14.2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ht="14.2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ht="14.2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ht="14.2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mergeCells count="12">
    <mergeCell ref="A26:G26"/>
    <mergeCell ref="A30:G30"/>
    <mergeCell ref="A34:G34"/>
    <mergeCell ref="A38:G38"/>
    <mergeCell ref="A43:G43"/>
    <mergeCell ref="A1:G1"/>
    <mergeCell ref="A2:G2"/>
    <mergeCell ref="A5:G5"/>
    <mergeCell ref="A9:G9"/>
    <mergeCell ref="A13:G13"/>
    <mergeCell ref="A17:G17"/>
    <mergeCell ref="A21:G21"/>
  </mergeCells>
  <conditionalFormatting sqref="A5:G5">
    <cfRule type="expression" dxfId="6" priority="1">
      <formula>OR($C$6:$C$8="yes",$E$6:$E$8="yes", $G$6:$G$8 ="yes")</formula>
    </cfRule>
  </conditionalFormatting>
  <conditionalFormatting sqref="A9:G9">
    <cfRule type="expression" dxfId="6" priority="2">
      <formula>OR($C$10:$C$12="yes",$E$10:$E$12="yes", $G$10:$G$12="yes")</formula>
    </cfRule>
  </conditionalFormatting>
  <conditionalFormatting sqref="A13:G13">
    <cfRule type="expression" dxfId="6" priority="3">
      <formula>OR($C$14:$C$16="yes",$E$14:$E$16="yes", $G$14:$G$16="yes")</formula>
    </cfRule>
  </conditionalFormatting>
  <conditionalFormatting sqref="A17:G17">
    <cfRule type="expression" dxfId="6" priority="4">
      <formula>OR($C$20:$C$120="yes",$E$18:$E$20="yes", $G$18:$G$20="yes")</formula>
    </cfRule>
  </conditionalFormatting>
  <conditionalFormatting sqref="A21:G21">
    <cfRule type="expression" dxfId="6" priority="5">
      <formula>OR($C$22:$C$24="yes",$E$22:$E$24="yes", $G$22:$G$24="yes")</formula>
    </cfRule>
  </conditionalFormatting>
  <conditionalFormatting sqref="A26:G26">
    <cfRule type="expression" dxfId="6" priority="6">
      <formula>OR($C$27:$C$29="yes",$E$27:$E$29="yes", $G$27:$G$29="yes")</formula>
    </cfRule>
  </conditionalFormatting>
  <conditionalFormatting sqref="A30:G30">
    <cfRule type="expression" dxfId="6" priority="7">
      <formula>OR($C$31:$C$33="yes",$E$31:$E$33="yes", $G$31:$G$33="yes")</formula>
    </cfRule>
  </conditionalFormatting>
  <conditionalFormatting sqref="A34:G34">
    <cfRule type="expression" dxfId="6" priority="8">
      <formula>OR($C$35:$C$37="yes",$E$35:$E$37="yes", $G$35:$G$37="yes")</formula>
    </cfRule>
  </conditionalFormatting>
  <conditionalFormatting sqref="A38:G38">
    <cfRule type="expression" dxfId="6" priority="9">
      <formula>OR($C$39:$C$41="yes",$E$39:$E$41="yes", $G$39:$G$41="yes")</formula>
    </cfRule>
  </conditionalFormatting>
  <conditionalFormatting sqref="A43:G43">
    <cfRule type="expression" dxfId="6" priority="10">
      <formula>OR($C$44:$C$46="yes",$E$44:$E$47="yes", $G$44:$G$46="yes")</formula>
    </cfRule>
  </conditionalFormatting>
  <printOptions/>
  <pageMargins bottom="0.787401575" footer="0.0" header="0.0" left="0.7" right="0.7" top="0.7874015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61.43"/>
    <col customWidth="1" min="3" max="3" width="60.29"/>
    <col customWidth="1" min="4" max="4" width="55.57"/>
    <col customWidth="1" min="5" max="5" width="57.57"/>
  </cols>
  <sheetData>
    <row r="1">
      <c r="A1" s="262" t="s">
        <v>105</v>
      </c>
      <c r="B1" s="62" t="str">
        <f>IFERROR(__xludf.DUMMYFUNCTION("IFERROR(SPLIT(INDEX('1. ESRS Topic Overview'!$D$5:$D1004, MATCH($A1,'1. ESRS Topic Overview'!$B$5:$B1004,0)),"";""),"""")"),"")</f>
        <v/>
      </c>
      <c r="C1" s="62"/>
      <c r="D1" s="62"/>
      <c r="E1" s="62"/>
      <c r="F1" s="62"/>
      <c r="G1" s="62"/>
    </row>
    <row r="2">
      <c r="A2" s="262" t="s">
        <v>14</v>
      </c>
      <c r="B2" s="62" t="str">
        <f>IFERROR(__xludf.DUMMYFUNCTION("IFERROR(SPLIT(INDEX('1. ESRS Topic Overview'!$D$5:$D1004, MATCH($A2,'1. ESRS Topic Overview'!$C$5:$C1004,0)),"";""),"""")"),"Risk assessment")</f>
        <v>Risk assessment</v>
      </c>
      <c r="C2" s="62" t="str">
        <f>IFERROR(__xludf.DUMMYFUNCTION("""COMPUTED_VALUE""")," Resilience planning")</f>
        <v> Resilience planning</v>
      </c>
      <c r="D2" s="62" t="str">
        <f>IFERROR(__xludf.DUMMYFUNCTION("""COMPUTED_VALUE""")," Infrastructure adaptation")</f>
        <v> Infrastructure adaptation</v>
      </c>
      <c r="E2" s="62" t="str">
        <f>IFERROR(__xludf.DUMMYFUNCTION("""COMPUTED_VALUE""")," Early warning systems")</f>
        <v> Early warning systems</v>
      </c>
      <c r="F2" s="62" t="str">
        <f>IFERROR(__xludf.DUMMYFUNCTION("""COMPUTED_VALUE""")," Climate-resilient agriculture")</f>
        <v> Climate-resilient agriculture</v>
      </c>
      <c r="G2" s="62"/>
    </row>
    <row r="3">
      <c r="A3" s="262" t="s">
        <v>16</v>
      </c>
      <c r="B3" s="62" t="str">
        <f>IFERROR(__xludf.DUMMYFUNCTION("IFERROR(SPLIT(INDEX('1. ESRS Topic Overview'!$D$5:$D1004, MATCH($A3,'1. ESRS Topic Overview'!$C$5:$C1004,0)),"";""),"""")"),"Carbon neutrality strategies")</f>
        <v>Carbon neutrality strategies</v>
      </c>
      <c r="C3" s="62" t="str">
        <f>IFERROR(__xludf.DUMMYFUNCTION("""COMPUTED_VALUE""")," Renewable energy adoption")</f>
        <v> Renewable energy adoption</v>
      </c>
      <c r="D3" s="62" t="str">
        <f>IFERROR(__xludf.DUMMYFUNCTION("""COMPUTED_VALUE""")," Energy efficiency")</f>
        <v> Energy efficiency</v>
      </c>
      <c r="E3" s="62" t="str">
        <f>IFERROR(__xludf.DUMMYFUNCTION("""COMPUTED_VALUE""")," Emission reduction technologies")</f>
        <v> Emission reduction technologies</v>
      </c>
      <c r="F3" s="62"/>
      <c r="G3" s="62"/>
    </row>
    <row r="4">
      <c r="A4" s="262" t="s">
        <v>18</v>
      </c>
      <c r="B4" s="62" t="str">
        <f>IFERROR(__xludf.DUMMYFUNCTION("IFERROR(SPLIT(INDEX('1. ESRS Topic Overview'!$D$5:$D1004, MATCH($A4,'1. ESRS Topic Overview'!$C$5:$C1004,0)),"";""),"""")"),"Renewable energy sources")</f>
        <v>Renewable energy sources</v>
      </c>
      <c r="C4" s="62" t="str">
        <f>IFERROR(__xludf.DUMMYFUNCTION("""COMPUTED_VALUE""")," Fossil fuel phase-out")</f>
        <v> Fossil fuel phase-out</v>
      </c>
      <c r="D4" s="62" t="str">
        <f>IFERROR(__xludf.DUMMYFUNCTION("""COMPUTED_VALUE""")," Energy transition policies")</f>
        <v> Energy transition policies</v>
      </c>
      <c r="E4" s="62" t="str">
        <f>IFERROR(__xludf.DUMMYFUNCTION("""COMPUTED_VALUE""")," Grid decarbonization")</f>
        <v> Grid decarbonization</v>
      </c>
      <c r="F4" s="62" t="str">
        <f>IFERROR(__xludf.DUMMYFUNCTION("""COMPUTED_VALUE""")," Hydrogen economy")</f>
        <v> Hydrogen economy</v>
      </c>
      <c r="G4" s="62"/>
    </row>
    <row r="5">
      <c r="A5" s="262" t="s">
        <v>118</v>
      </c>
      <c r="B5" s="62" t="str">
        <f>IFERROR(__xludf.DUMMYFUNCTION("IFERROR(SPLIT(INDEX('1. ESRS Topic Overview'!$D$5:$D1004, MATCH($A5,'1. ESRS Topic Overview'!$C$5:$C1004,0)),"";""),"""")"),"")</f>
        <v/>
      </c>
      <c r="C5" s="62"/>
      <c r="D5" s="62"/>
      <c r="E5" s="62"/>
      <c r="F5" s="62"/>
      <c r="G5" s="62"/>
    </row>
    <row r="6">
      <c r="A6" s="262" t="s">
        <v>21</v>
      </c>
      <c r="B6" s="62" t="str">
        <f>IFERROR(__xludf.DUMMYFUNCTION("IFERROR(SPLIT(INDEX('1. ESRS Topic Overview'!$D$5:$D1004, MATCH($A6,'1. ESRS Topic Overview'!$C$5:$C1004,0)),"";""),"""")"),"Greenhouse gases")</f>
        <v>Greenhouse gases</v>
      </c>
      <c r="C6" s="62" t="str">
        <f>IFERROR(__xludf.DUMMYFUNCTION("""COMPUTED_VALUE""")," Particulate matter (PM2.5, PM10)")</f>
        <v> Particulate matter (PM2.5, PM10)</v>
      </c>
      <c r="D6" s="62" t="str">
        <f>IFERROR(__xludf.DUMMYFUNCTION("""COMPUTED_VALUE""")," Nitrogen oxides (NOx)")</f>
        <v> Nitrogen oxides (NOx)</v>
      </c>
      <c r="E6" s="62" t="str">
        <f>IFERROR(__xludf.DUMMYFUNCTION("""COMPUTED_VALUE""")," Sulfur dioxide (SO2)")</f>
        <v> Sulfur dioxide (SO2)</v>
      </c>
      <c r="F6" s="62" t="str">
        <f>IFERROR(__xludf.DUMMYFUNCTION("""COMPUTED_VALUE""")," Volatile organic compounds (VOCs)")</f>
        <v> Volatile organic compounds (VOCs)</v>
      </c>
      <c r="G6" s="62"/>
      <c r="H6" s="62"/>
      <c r="I6" s="62"/>
    </row>
    <row r="7">
      <c r="A7" s="262" t="s">
        <v>23</v>
      </c>
      <c r="B7" s="62" t="str">
        <f>IFERROR(__xludf.DUMMYFUNCTION("IFERROR(SPLIT(INDEX('1. ESRS Topic Overview'!$D$5:$D1004, MATCH($A7,'1. ESRS Topic Overview'!$C$5:$C1004,0)),"";""),"""")"),"Industrial wastewater")</f>
        <v>Industrial wastewater</v>
      </c>
      <c r="C7" s="62" t="str">
        <f>IFERROR(__xludf.DUMMYFUNCTION("""COMPUTED_VALUE""")," Agricultural runoff")</f>
        <v> Agricultural runoff</v>
      </c>
      <c r="D7" s="62" t="str">
        <f>IFERROR(__xludf.DUMMYFUNCTION("""COMPUTED_VALUE""")," Oil spills")</f>
        <v> Oil spills</v>
      </c>
      <c r="E7" s="62" t="str">
        <f>IFERROR(__xludf.DUMMYFUNCTION("""COMPUTED_VALUE""")," Heavy metal contamination")</f>
        <v> Heavy metal contamination</v>
      </c>
      <c r="F7" s="62" t="str">
        <f>IFERROR(__xludf.DUMMYFUNCTION("""COMPUTED_VALUE""")," Microplastic contamination")</f>
        <v> Microplastic contamination</v>
      </c>
      <c r="G7" s="62"/>
      <c r="H7" s="62"/>
      <c r="I7" s="62"/>
    </row>
    <row r="8">
      <c r="A8" s="262" t="s">
        <v>25</v>
      </c>
      <c r="B8" s="62" t="str">
        <f>IFERROR(__xludf.DUMMYFUNCTION("IFERROR(SPLIT(INDEX('1. ESRS Topic Overview'!$D$5:$D1004, MATCH($A8,'1. ESRS Topic Overview'!$C$5:$C1004,0)),"";""),"""")"),"Pesticide residues")</f>
        <v>Pesticide residues</v>
      </c>
      <c r="C8" s="62" t="str">
        <f>IFERROR(__xludf.DUMMYFUNCTION("""COMPUTED_VALUE""")," Heavy metal accumulation")</f>
        <v> Heavy metal accumulation</v>
      </c>
      <c r="D8" s="62" t="str">
        <f>IFERROR(__xludf.DUMMYFUNCTION("""COMPUTED_VALUE""")," Industrial contamination")</f>
        <v> Industrial contamination</v>
      </c>
      <c r="E8" s="62" t="str">
        <f>IFERROR(__xludf.DUMMYFUNCTION("""COMPUTED_VALUE""")," Land degradation")</f>
        <v> Land degradation</v>
      </c>
      <c r="F8" s="62" t="str">
        <f>IFERROR(__xludf.DUMMYFUNCTION("""COMPUTED_VALUE""")," Soil erosion")</f>
        <v> Soil erosion</v>
      </c>
      <c r="G8" s="62"/>
      <c r="H8" s="62"/>
      <c r="I8" s="62"/>
    </row>
    <row r="9">
      <c r="A9" s="262" t="s">
        <v>27</v>
      </c>
      <c r="B9" s="62" t="str">
        <f>IFERROR(__xludf.DUMMYFUNCTION("IFERROR(SPLIT(INDEX('1. ESRS Topic Overview'!$D$5:$D1004, MATCH($A9,'1. ESRS Topic Overview'!$C$5:$C1004,0)),"";""),"""")"),"Contaminated seafood")</f>
        <v>Contaminated seafood</v>
      </c>
      <c r="C9" s="62" t="str">
        <f>IFERROR(__xludf.DUMMYFUNCTION("""COMPUTED_VALUE""")," Pesticide bioaccumulation")</f>
        <v> Pesticide bioaccumulation</v>
      </c>
      <c r="D9" s="62" t="str">
        <f>IFERROR(__xludf.DUMMYFUNCTION("""COMPUTED_VALUE""")," Antibiotic resistance in livestock")</f>
        <v> Antibiotic resistance in livestock</v>
      </c>
      <c r="E9" s="62" t="str">
        <f>IFERROR(__xludf.DUMMYFUNCTION("""COMPUTED_VALUE""")," Heavy metal toxicity in crops")</f>
        <v> Heavy metal toxicity in crops</v>
      </c>
      <c r="F9" s="62"/>
      <c r="G9" s="62"/>
      <c r="H9" s="62"/>
      <c r="I9" s="62"/>
    </row>
    <row r="10">
      <c r="A10" s="262" t="s">
        <v>29</v>
      </c>
      <c r="B10" s="62" t="str">
        <f>IFERROR(__xludf.DUMMYFUNCTION("IFERROR(SPLIT(INDEX('1. ESRS Topic Overview'!$D$5:$D1004, MATCH($A10,'1. ESRS Topic Overview'!$C$5:$C1004,0)),"";""),"""")"),"Endocrine disruptors")</f>
        <v>Endocrine disruptors</v>
      </c>
      <c r="C10" s="62" t="str">
        <f>IFERROR(__xludf.DUMMYFUNCTION("""COMPUTED_VALUE""")," Persistent organic pollutants (POPs)")</f>
        <v> Persistent organic pollutants (POPs)</v>
      </c>
      <c r="D10" s="62" t="str">
        <f>IFERROR(__xludf.DUMMYFUNCTION("""COMPUTED_VALUE""")," Heavy metals")</f>
        <v> Heavy metals</v>
      </c>
      <c r="E10" s="62" t="str">
        <f>IFERROR(__xludf.DUMMYFUNCTION("""COMPUTED_VALUE""")," Pharmaceutical pollutants")</f>
        <v> Pharmaceutical pollutants</v>
      </c>
      <c r="F10" s="62"/>
      <c r="G10" s="62"/>
      <c r="H10" s="62"/>
      <c r="I10" s="62"/>
    </row>
    <row r="11">
      <c r="A11" s="262" t="s">
        <v>31</v>
      </c>
      <c r="B11" s="62" t="str">
        <f>IFERROR(__xludf.DUMMYFUNCTION("IFERROR(SPLIT(INDEX('1. ESRS Topic Overview'!$D$5:$D1004, MATCH($A11,'1. ESRS Topic Overview'!$C$5:$C1004,0)),"";""),"""")"),"Carcinogenic substances")</f>
        <v>Carcinogenic substances</v>
      </c>
      <c r="C11" s="62" t="str">
        <f>IFERROR(__xludf.DUMMYFUNCTION("""COMPUTED_VALUE""")," Mutagenic chemicals")</f>
        <v> Mutagenic chemicals</v>
      </c>
      <c r="D11" s="62" t="str">
        <f>IFERROR(__xludf.DUMMYFUNCTION("""COMPUTED_VALUE""")," Reproductive toxins")</f>
        <v> Reproductive toxins</v>
      </c>
      <c r="E11" s="62" t="str">
        <f>IFERROR(__xludf.DUMMYFUNCTION("""COMPUTED_VALUE""")," Per- and polyfluoroalkyl substances (PFAS)")</f>
        <v> Per- and polyfluoroalkyl substances (PFAS)</v>
      </c>
      <c r="F11" s="62"/>
      <c r="G11" s="62"/>
      <c r="H11" s="62"/>
      <c r="I11" s="62"/>
    </row>
    <row r="12">
      <c r="A12" s="262" t="s">
        <v>33</v>
      </c>
      <c r="B12" s="62" t="str">
        <f>IFERROR(__xludf.DUMMYFUNCTION("IFERROR(SPLIT(INDEX('1. ESRS Topic Overview'!$D$5:$D1004, MATCH($A12,'1. ESRS Topic Overview'!$C$5:$C1004,0)),"";""),"""")"),"Primary microplastics")</f>
        <v>Primary microplastics</v>
      </c>
      <c r="C12" s="62" t="str">
        <f>IFERROR(__xludf.DUMMYFUNCTION("""COMPUTED_VALUE""")," Secondary microplastics")</f>
        <v> Secondary microplastics</v>
      </c>
      <c r="D12" s="62" t="str">
        <f>IFERROR(__xludf.DUMMYFUNCTION("""COMPUTED_VALUE""")," Textile fiber pollution")</f>
        <v> Textile fiber pollution</v>
      </c>
      <c r="E12" s="62" t="str">
        <f>IFERROR(__xludf.DUMMYFUNCTION("""COMPUTED_VALUE""")," Cosmetic microbeads")</f>
        <v> Cosmetic microbeads</v>
      </c>
      <c r="F12" s="62" t="str">
        <f>IFERROR(__xludf.DUMMYFUNCTION("""COMPUTED_VALUE""")," Nanoplastics")</f>
        <v> Nanoplastics</v>
      </c>
      <c r="G12" s="62"/>
      <c r="H12" s="62"/>
      <c r="I12" s="62"/>
    </row>
    <row r="13">
      <c r="A13" s="262" t="s">
        <v>141</v>
      </c>
      <c r="B13" s="62" t="str">
        <f>IFERROR(__xludf.DUMMYFUNCTION("IFERROR(SPLIT(INDEX('1. ESRS Topic Overview'!$D$5:$D1004, MATCH($A13,'1. ESRS Topic Overview'!$C$5:$C1004,0)),"";""),"""")"),"")</f>
        <v/>
      </c>
      <c r="C13" s="62"/>
      <c r="D13" s="62"/>
      <c r="E13" s="62"/>
      <c r="F13" s="62"/>
      <c r="G13" s="62"/>
      <c r="H13" s="62"/>
      <c r="I13" s="62"/>
    </row>
    <row r="14">
      <c r="A14" s="262" t="s">
        <v>36</v>
      </c>
      <c r="B14" s="62" t="str">
        <f>IFERROR(__xludf.DUMMYFUNCTION("IFERROR(SPLIT(INDEX('1. ESRS Topic Overview'!$D$5:$D1004, MATCH($A14,'1. ESRS Topic Overview'!$C$5:$C1004,0)),"";""),"""")"),"Water consumption")</f>
        <v>Water consumption</v>
      </c>
      <c r="C14" s="62" t="str">
        <f>IFERROR(__xludf.DUMMYFUNCTION("""COMPUTED_VALUE""")," Water withdrawals")</f>
        <v> Water withdrawals</v>
      </c>
      <c r="D14" s="62" t="str">
        <f>IFERROR(__xludf.DUMMYFUNCTION("""COMPUTED_VALUE""")," Water discharges")</f>
        <v> Water discharges</v>
      </c>
      <c r="E14" s="62" t="str">
        <f>IFERROR(__xludf.DUMMYFUNCTION("""COMPUTED_VALUE""")," Water discharges in the oceans")</f>
        <v> Water discharges in the oceans</v>
      </c>
      <c r="F14" s="62" t="str">
        <f>IFERROR(__xludf.DUMMYFUNCTION("""COMPUTED_VALUE""")," Extraction and use of marine resources")</f>
        <v> Extraction and use of marine resources</v>
      </c>
      <c r="G14" s="62"/>
      <c r="H14" s="62"/>
      <c r="I14" s="62"/>
    </row>
    <row r="15">
      <c r="A15" s="262" t="s">
        <v>38</v>
      </c>
      <c r="B15" s="62" t="str">
        <f>IFERROR(__xludf.DUMMYFUNCTION("IFERROR(SPLIT(INDEX('1. ESRS Topic Overview'!$D$5:$D1004, MATCH($A15,'1. ESRS Topic Overview'!$C$5:$C1004,0)),"";""),"""")"),"Water consumption")</f>
        <v>Water consumption</v>
      </c>
      <c r="C15" s="62" t="str">
        <f>IFERROR(__xludf.DUMMYFUNCTION("""COMPUTED_VALUE""")," Water withdrawals")</f>
        <v> Water withdrawals</v>
      </c>
      <c r="D15" s="62" t="str">
        <f>IFERROR(__xludf.DUMMYFUNCTION("""COMPUTED_VALUE""")," Water discharges")</f>
        <v> Water discharges</v>
      </c>
      <c r="E15" s="62" t="str">
        <f>IFERROR(__xludf.DUMMYFUNCTION("""COMPUTED_VALUE""")," Water discharges in the oceans")</f>
        <v> Water discharges in the oceans</v>
      </c>
      <c r="F15" s="62" t="str">
        <f>IFERROR(__xludf.DUMMYFUNCTION("""COMPUTED_VALUE""")," Extraction and use of marine resources")</f>
        <v> Extraction and use of marine resources</v>
      </c>
      <c r="G15" s="62"/>
      <c r="H15" s="62"/>
      <c r="I15" s="62"/>
    </row>
    <row r="16">
      <c r="A16" s="262" t="s">
        <v>148</v>
      </c>
      <c r="B16" s="62" t="str">
        <f>IFERROR(__xludf.DUMMYFUNCTION("IFERROR(SPLIT(INDEX('1. ESRS Topic Overview'!$D$5:$D1004, MATCH($A16,'1. ESRS Topic Overview'!$C$5:$C1004,0)),"";""),"""")"),"")</f>
        <v/>
      </c>
      <c r="C16" s="62"/>
      <c r="D16" s="62"/>
      <c r="E16" s="62"/>
      <c r="F16" s="62"/>
      <c r="G16" s="62"/>
      <c r="H16" s="62"/>
      <c r="I16" s="62"/>
    </row>
    <row r="17">
      <c r="A17" s="262" t="s">
        <v>40</v>
      </c>
      <c r="B17" s="62" t="str">
        <f>IFERROR(__xludf.DUMMYFUNCTION("IFERROR(SPLIT(INDEX('1. ESRS Topic Overview'!$D$5:$D1004, MATCH($A17,'1. ESRS Topic Overview'!$C$5:$C1004,0)),"";""),"""")"),"Climate Change")</f>
        <v>Climate Change</v>
      </c>
      <c r="C17" s="62" t="str">
        <f>IFERROR(__xludf.DUMMYFUNCTION("""COMPUTED_VALUE""")," Land-use change, fresh water-use change and sea-use change")</f>
        <v> Land-use change, fresh water-use change and sea-use change</v>
      </c>
      <c r="D17" s="62" t="str">
        <f>IFERROR(__xludf.DUMMYFUNCTION("""COMPUTED_VALUE""")," Direct exploitation")</f>
        <v> Direct exploitation</v>
      </c>
      <c r="E17" s="62" t="str">
        <f>IFERROR(__xludf.DUMMYFUNCTION("""COMPUTED_VALUE""")," Invasive alien species")</f>
        <v> Invasive alien species</v>
      </c>
      <c r="F17" s="62" t="str">
        <f>IFERROR(__xludf.DUMMYFUNCTION("""COMPUTED_VALUE""")," Pollution")</f>
        <v> Pollution</v>
      </c>
      <c r="G17" s="62" t="str">
        <f>IFERROR(__xludf.DUMMYFUNCTION("""COMPUTED_VALUE""")," Others")</f>
        <v> Others</v>
      </c>
      <c r="H17" s="62"/>
      <c r="I17" s="62"/>
    </row>
    <row r="18">
      <c r="A18" s="262" t="s">
        <v>42</v>
      </c>
      <c r="B18" s="62" t="str">
        <f>IFERROR(__xludf.DUMMYFUNCTION("IFERROR(SPLIT(INDEX('1. ESRS Topic Overview'!$D$5:$D1004, MATCH($A18,'1. ESRS Topic Overview'!$C$5:$C1004,0)),"";""),"""")"),"Species population size")</f>
        <v>Species population size</v>
      </c>
      <c r="C18" s="62" t="str">
        <f>IFERROR(__xludf.DUMMYFUNCTION("""COMPUTED_VALUE""")," Species global extinction risk")</f>
        <v> Species global extinction risk</v>
      </c>
      <c r="D18" s="62"/>
      <c r="E18" s="62"/>
      <c r="F18" s="62"/>
      <c r="G18" s="62"/>
      <c r="H18" s="62"/>
      <c r="I18" s="62"/>
    </row>
    <row r="19">
      <c r="A19" s="262" t="s">
        <v>44</v>
      </c>
      <c r="B19" s="62" t="str">
        <f>IFERROR(__xludf.DUMMYFUNCTION("IFERROR(SPLIT(INDEX('1. ESRS Topic Overview'!$D$5:$D1004, MATCH($A19,'1. ESRS Topic Overview'!$C$5:$C1004,0)),"";""),"""")"),"Land degradation")</f>
        <v>Land degradation</v>
      </c>
      <c r="C19" s="62" t="str">
        <f>IFERROR(__xludf.DUMMYFUNCTION("""COMPUTED_VALUE""")," Desertification")</f>
        <v> Desertification</v>
      </c>
      <c r="D19" s="62" t="str">
        <f>IFERROR(__xludf.DUMMYFUNCTION("""COMPUTED_VALUE""")," Soil sealing")</f>
        <v> Soil sealing</v>
      </c>
      <c r="E19" s="62"/>
      <c r="F19" s="62"/>
      <c r="G19" s="62"/>
      <c r="H19" s="62"/>
      <c r="I19" s="62"/>
    </row>
    <row r="20">
      <c r="A20" s="262" t="s">
        <v>46</v>
      </c>
      <c r="B20" s="62" t="str">
        <f>IFERROR(__xludf.DUMMYFUNCTION("IFERROR(SPLIT(INDEX('1. ESRS Topic Overview'!$D$5:$D1004, MATCH($A20,'1. ESRS Topic Overview'!$C$5:$C1004,0)),"";""),"""")"),"Pollination loss")</f>
        <v>Pollination loss</v>
      </c>
      <c r="C20" s="62" t="str">
        <f>IFERROR(__xludf.DUMMYFUNCTION("""COMPUTED_VALUE""")," Carbon sequestration reduction")</f>
        <v> Carbon sequestration reduction</v>
      </c>
      <c r="D20" s="62" t="str">
        <f>IFERROR(__xludf.DUMMYFUNCTION("""COMPUTED_VALUE""")," Soil fertility decline")</f>
        <v> Soil fertility decline</v>
      </c>
      <c r="E20" s="62" t="str">
        <f>IFERROR(__xludf.DUMMYFUNCTION("""COMPUTED_VALUE""")," Fisheries collapse")</f>
        <v> Fisheries collapse</v>
      </c>
      <c r="F20" s="62"/>
      <c r="G20" s="62"/>
      <c r="H20" s="62"/>
      <c r="I20" s="62"/>
    </row>
    <row r="21">
      <c r="A21" s="262" t="s">
        <v>160</v>
      </c>
      <c r="B21" s="62" t="str">
        <f>IFERROR(__xludf.DUMMYFUNCTION("IFERROR(SPLIT(INDEX('1. ESRS Topic Overview'!$D$5:$D1004, MATCH($A21,'1. ESRS Topic Overview'!$C$5:$C1004,0)),"";""),"""")"),"")</f>
        <v/>
      </c>
      <c r="C21" s="62"/>
      <c r="D21" s="62"/>
      <c r="E21" s="62"/>
      <c r="F21" s="62"/>
      <c r="G21" s="62"/>
      <c r="H21" s="62"/>
      <c r="I21" s="62"/>
    </row>
    <row r="22">
      <c r="A22" s="262" t="s">
        <v>49</v>
      </c>
      <c r="B22" s="62" t="str">
        <f>IFERROR(__xludf.DUMMYFUNCTION("IFERROR(SPLIT(INDEX('1. ESRS Topic Overview'!$D$5:$D1004, MATCH($A22,'1. ESRS Topic Overview'!$C$5:$C1004,0)),"";""),"""")"),"Sustainable sourcing")</f>
        <v>Sustainable sourcing</v>
      </c>
      <c r="C22" s="62" t="str">
        <f>IFERROR(__xludf.DUMMYFUNCTION("""COMPUTED_VALUE""")," Renewable resource integration")</f>
        <v> Renewable resource integration</v>
      </c>
      <c r="D22" s="62" t="str">
        <f>IFERROR(__xludf.DUMMYFUNCTION("""COMPUTED_VALUE""")," Raw material efficiency")</f>
        <v> Raw material efficiency</v>
      </c>
      <c r="E22" s="62" t="str">
        <f>IFERROR(__xludf.DUMMYFUNCTION("""COMPUTED_VALUE""")," Resource conservation strategies")</f>
        <v> Resource conservation strategies</v>
      </c>
      <c r="F22" s="62"/>
      <c r="G22" s="62"/>
      <c r="H22" s="62"/>
      <c r="I22" s="62"/>
    </row>
    <row r="23">
      <c r="A23" s="262" t="s">
        <v>51</v>
      </c>
      <c r="B23" s="62" t="str">
        <f>IFERROR(__xludf.DUMMYFUNCTION("IFERROR(SPLIT(INDEX('1. ESRS Topic Overview'!$D$5:$D1004, MATCH($A23,'1. ESRS Topic Overview'!$C$5:$C1004,0)),"";""),"""")"),"Eco-design principles")</f>
        <v>Eco-design principles</v>
      </c>
      <c r="C23" s="62" t="str">
        <f>IFERROR(__xludf.DUMMYFUNCTION("""COMPUTED_VALUE""")," Product life extension")</f>
        <v> Product life extension</v>
      </c>
      <c r="D23" s="62" t="str">
        <f>IFERROR(__xludf.DUMMYFUNCTION("""COMPUTED_VALUE""")," Circular supply chains")</f>
        <v> Circular supply chains</v>
      </c>
      <c r="E23" s="62" t="str">
        <f>IFERROR(__xludf.DUMMYFUNCTION("""COMPUTED_VALUE""")," Industrial symbiosis")</f>
        <v> Industrial symbiosis</v>
      </c>
      <c r="F23" s="62" t="str">
        <f>IFERROR(__xludf.DUMMYFUNCTION("""COMPUTED_VALUE""")," Reuse strategies")</f>
        <v> Reuse strategies</v>
      </c>
      <c r="G23" s="62"/>
      <c r="H23" s="62"/>
      <c r="I23" s="62"/>
    </row>
    <row r="24">
      <c r="A24" s="262" t="s">
        <v>53</v>
      </c>
      <c r="B24" s="62" t="str">
        <f>IFERROR(__xludf.DUMMYFUNCTION("IFERROR(SPLIT(INDEX('1. ESRS Topic Overview'!$D$5:$D1004, MATCH($A24,'1. ESRS Topic Overview'!$C$5:$C1004,0)),"";""),"""")"),"Waste prevention")</f>
        <v>Waste prevention</v>
      </c>
      <c r="C24" s="62" t="str">
        <f>IFERROR(__xludf.DUMMYFUNCTION("""COMPUTED_VALUE""")," Recycling and reuse")</f>
        <v> Recycling and reuse</v>
      </c>
      <c r="D24" s="62" t="str">
        <f>IFERROR(__xludf.DUMMYFUNCTION("""COMPUTED_VALUE""")," E-waste management")</f>
        <v> E-waste management</v>
      </c>
      <c r="E24" s="62" t="str">
        <f>IFERROR(__xludf.DUMMYFUNCTION("""COMPUTED_VALUE""")," Organic waste processing")</f>
        <v> Organic waste processing</v>
      </c>
      <c r="F24" s="62" t="str">
        <f>IFERROR(__xludf.DUMMYFUNCTION("""COMPUTED_VALUE""")," Hazardous waste disposal")</f>
        <v> Hazardous waste disposal</v>
      </c>
      <c r="G24" s="62"/>
      <c r="H24" s="62"/>
      <c r="I24" s="62"/>
    </row>
    <row r="25">
      <c r="A25" s="262" t="s">
        <v>170</v>
      </c>
      <c r="B25" s="62" t="str">
        <f>IFERROR(__xludf.DUMMYFUNCTION("IFERROR(SPLIT(INDEX('1. ESRS Topic Overview'!$D$5:$D1004, MATCH($A25,'1. ESRS Topic Overview'!$C$5:$C1004,0)),"";""),"""")"),"")</f>
        <v/>
      </c>
      <c r="C25" s="62"/>
      <c r="D25" s="62"/>
      <c r="E25" s="62"/>
      <c r="F25" s="62"/>
      <c r="G25" s="62"/>
      <c r="H25" s="62"/>
      <c r="I25" s="62"/>
    </row>
    <row r="26">
      <c r="A26" s="262" t="s">
        <v>57</v>
      </c>
      <c r="B26" s="62" t="str">
        <f>IFERROR(__xludf.DUMMYFUNCTION("IFERROR(SPLIT(INDEX('1. ESRS Topic Overview'!$D$5:$D1004, MATCH($A26,'1. ESRS Topic Overview'!$C$5:$C1004,0)),"";""),"""")"),"Secure employment")</f>
        <v>Secure employment</v>
      </c>
      <c r="C26" s="62" t="str">
        <f>IFERROR(__xludf.DUMMYFUNCTION("""COMPUTED_VALUE""")," Working time")</f>
        <v> Working time</v>
      </c>
      <c r="D26" s="62" t="str">
        <f>IFERROR(__xludf.DUMMYFUNCTION("""COMPUTED_VALUE""")," Adequate wages")</f>
        <v> Adequate wages</v>
      </c>
      <c r="E26" s="62" t="str">
        <f>IFERROR(__xludf.DUMMYFUNCTION("""COMPUTED_VALUE""")," Social dialogue")</f>
        <v> Social dialogue</v>
      </c>
      <c r="F26" s="62" t="str">
        <f>IFERROR(__xludf.DUMMYFUNCTION("""COMPUTED_VALUE""")," Freedom of association, the existence of works councils and the information, consultation and participation rights of workers")</f>
        <v> Freedom of association, the existence of works councils and the information, consultation and participation rights of workers</v>
      </c>
      <c r="G26" s="62" t="str">
        <f>IFERROR(__xludf.DUMMYFUNCTION("""COMPUTED_VALUE""")," Collective bargaining, including rate of workers covered by collective agreements")</f>
        <v> Collective bargaining, including rate of workers covered by collective agreements</v>
      </c>
      <c r="H26" s="62" t="str">
        <f>IFERROR(__xludf.DUMMYFUNCTION("""COMPUTED_VALUE""")," Work-life balance")</f>
        <v> Work-life balance</v>
      </c>
      <c r="I26" s="62" t="str">
        <f>IFERROR(__xludf.DUMMYFUNCTION("""COMPUTED_VALUE""")," Health and safety")</f>
        <v> Health and safety</v>
      </c>
    </row>
    <row r="27">
      <c r="A27" s="262" t="s">
        <v>59</v>
      </c>
      <c r="B27" s="62" t="str">
        <f>IFERROR(__xludf.DUMMYFUNCTION("IFERROR(SPLIT(INDEX('1. ESRS Topic Overview'!$D$5:$D1004, MATCH($A27,'1. ESRS Topic Overview'!$C$5:$C1004,0)),"";""),"""")"),"Gender equality and equal pay for work of equal value")</f>
        <v>Gender equality and equal pay for work of equal value</v>
      </c>
      <c r="C27" s="62" t="str">
        <f>IFERROR(__xludf.DUMMYFUNCTION("""COMPUTED_VALUE""")," Training and skills development")</f>
        <v> Training and skills development</v>
      </c>
      <c r="D27" s="62" t="str">
        <f>IFERROR(__xludf.DUMMYFUNCTION("""COMPUTED_VALUE""")," Employment and inclusion of persons with disabilities")</f>
        <v> Employment and inclusion of persons with disabilities</v>
      </c>
      <c r="E27" s="62" t="str">
        <f>IFERROR(__xludf.DUMMYFUNCTION("""COMPUTED_VALUE""")," Measures against violence and harassment in the workplace")</f>
        <v> Measures against violence and harassment in the workplace</v>
      </c>
      <c r="F27" s="62" t="str">
        <f>IFERROR(__xludf.DUMMYFUNCTION("""COMPUTED_VALUE""")," Diversity")</f>
        <v> Diversity</v>
      </c>
      <c r="G27" s="62"/>
      <c r="H27" s="62"/>
      <c r="I27" s="62"/>
    </row>
    <row r="28">
      <c r="A28" s="262" t="s">
        <v>61</v>
      </c>
      <c r="B28" s="62" t="str">
        <f>IFERROR(__xludf.DUMMYFUNCTION("IFERROR(SPLIT(INDEX('1. ESRS Topic Overview'!$D$5:$D1004, MATCH($A28,'1. ESRS Topic Overview'!$C$5:$C1004,0)),"";""),"""")"),"Child labour")</f>
        <v>Child labour</v>
      </c>
      <c r="C28" s="62" t="str">
        <f>IFERROR(__xludf.DUMMYFUNCTION("""COMPUTED_VALUE""")," Forced labour")</f>
        <v> Forced labour</v>
      </c>
      <c r="D28" s="62" t="str">
        <f>IFERROR(__xludf.DUMMYFUNCTION("""COMPUTED_VALUE""")," Adequate housing")</f>
        <v> Adequate housing</v>
      </c>
      <c r="E28" s="62" t="str">
        <f>IFERROR(__xludf.DUMMYFUNCTION("""COMPUTED_VALUE""")," Privacy")</f>
        <v> Privacy</v>
      </c>
      <c r="F28" s="62"/>
      <c r="G28" s="62"/>
      <c r="H28" s="62"/>
      <c r="I28" s="62"/>
    </row>
    <row r="29">
      <c r="A29" s="262" t="s">
        <v>181</v>
      </c>
      <c r="B29" s="62" t="str">
        <f>IFERROR(__xludf.DUMMYFUNCTION("IFERROR(SPLIT(INDEX('1. ESRS Topic Overview'!$D$5:$D1004, MATCH($A29,'1. ESRS Topic Overview'!$C$5:$C1004,0)),"";""),"""")"),"")</f>
        <v/>
      </c>
      <c r="C29" s="62"/>
      <c r="D29" s="62"/>
      <c r="E29" s="62"/>
      <c r="F29" s="62"/>
      <c r="G29" s="62"/>
      <c r="H29" s="62"/>
      <c r="I29" s="62"/>
    </row>
    <row r="30">
      <c r="A30" s="262" t="s">
        <v>64</v>
      </c>
      <c r="B30" s="62" t="str">
        <f>IFERROR(__xludf.DUMMYFUNCTION("IFERROR(SPLIT(INDEX('1. ESRS Topic Overview'!$D$5:$D1004, MATCH($A30,'1. ESRS Topic Overview'!$C$5:$C1004,0)),"";""),"""")"),"Secure employment")</f>
        <v>Secure employment</v>
      </c>
      <c r="C30" s="62" t="str">
        <f>IFERROR(__xludf.DUMMYFUNCTION("""COMPUTED_VALUE""")," Working time")</f>
        <v> Working time</v>
      </c>
      <c r="D30" s="62" t="str">
        <f>IFERROR(__xludf.DUMMYFUNCTION("""COMPUTED_VALUE""")," Adequate wages")</f>
        <v> Adequate wages</v>
      </c>
      <c r="E30" s="62" t="str">
        <f>IFERROR(__xludf.DUMMYFUNCTION("""COMPUTED_VALUE""")," Social dialogue")</f>
        <v> Social dialogue</v>
      </c>
      <c r="F30" s="62" t="str">
        <f>IFERROR(__xludf.DUMMYFUNCTION("""COMPUTED_VALUE""")," Freedom of association, including the existence of work councils")</f>
        <v> Freedom of association, including the existence of work councils</v>
      </c>
      <c r="G30" s="62" t="str">
        <f>IFERROR(__xludf.DUMMYFUNCTION("""COMPUTED_VALUE""")," Collective bargaining")</f>
        <v> Collective bargaining</v>
      </c>
      <c r="H30" s="62" t="str">
        <f>IFERROR(__xludf.DUMMYFUNCTION("""COMPUTED_VALUE""")," Work-life balance")</f>
        <v> Work-life balance</v>
      </c>
      <c r="I30" s="62" t="str">
        <f>IFERROR(__xludf.DUMMYFUNCTION("""COMPUTED_VALUE""")," Health and safety")</f>
        <v> Health and safety</v>
      </c>
    </row>
    <row r="31">
      <c r="A31" s="262" t="s">
        <v>66</v>
      </c>
      <c r="B31" s="62" t="str">
        <f>IFERROR(__xludf.DUMMYFUNCTION("IFERROR(SPLIT(INDEX('1. ESRS Topic Overview'!$D$5:$D1004, MATCH($A31,'1. ESRS Topic Overview'!$C$5:$C1004,0)),"";""),"""")"),"Gender equality and equal pay for work of equal value")</f>
        <v>Gender equality and equal pay for work of equal value</v>
      </c>
      <c r="C31" s="62" t="str">
        <f>IFERROR(__xludf.DUMMYFUNCTION("""COMPUTED_VALUE""")," Training and skills development")</f>
        <v> Training and skills development</v>
      </c>
      <c r="D31" s="62" t="str">
        <f>IFERROR(__xludf.DUMMYFUNCTION("""COMPUTED_VALUE""")," The employment and inclusion of persons with disabilities")</f>
        <v> The employment and inclusion of persons with disabilities</v>
      </c>
      <c r="E31" s="62" t="str">
        <f>IFERROR(__xludf.DUMMYFUNCTION("""COMPUTED_VALUE""")," Measures against violence and harassment in the workplace")</f>
        <v> Measures against violence and harassment in the workplace</v>
      </c>
      <c r="F31" s="62" t="str">
        <f>IFERROR(__xludf.DUMMYFUNCTION("""COMPUTED_VALUE""")," Diversity")</f>
        <v> Diversity</v>
      </c>
      <c r="G31" s="62"/>
      <c r="H31" s="62"/>
      <c r="I31" s="62"/>
    </row>
    <row r="32">
      <c r="A32" s="262" t="s">
        <v>68</v>
      </c>
      <c r="B32" s="62" t="str">
        <f>IFERROR(__xludf.DUMMYFUNCTION("IFERROR(SPLIT(INDEX('1. ESRS Topic Overview'!$D$5:$D1004, MATCH($A32,'1. ESRS Topic Overview'!$C$5:$C1004,0)),"";""),"""")"),"Child labour")</f>
        <v>Child labour</v>
      </c>
      <c r="C32" s="62" t="str">
        <f>IFERROR(__xludf.DUMMYFUNCTION("""COMPUTED_VALUE""")," Forced labour")</f>
        <v> Forced labour</v>
      </c>
      <c r="D32" s="62" t="str">
        <f>IFERROR(__xludf.DUMMYFUNCTION("""COMPUTED_VALUE""")," Adequate housing")</f>
        <v> Adequate housing</v>
      </c>
      <c r="E32" s="62" t="str">
        <f>IFERROR(__xludf.DUMMYFUNCTION("""COMPUTED_VALUE""")," Water and sanitation")</f>
        <v> Water and sanitation</v>
      </c>
      <c r="F32" s="62" t="str">
        <f>IFERROR(__xludf.DUMMYFUNCTION("""COMPUTED_VALUE""")," Privacy")</f>
        <v> Privacy</v>
      </c>
      <c r="G32" s="62"/>
      <c r="H32" s="62"/>
      <c r="I32" s="62"/>
    </row>
    <row r="33">
      <c r="A33" s="262" t="s">
        <v>191</v>
      </c>
      <c r="B33" s="62" t="str">
        <f>IFERROR(__xludf.DUMMYFUNCTION("IFERROR(SPLIT(INDEX('1. ESRS Topic Overview'!$D$5:$D1004, MATCH($A33,'1. ESRS Topic Overview'!$C$5:$C1004,0)),"";""),"""")"),"")</f>
        <v/>
      </c>
      <c r="C33" s="62"/>
      <c r="D33" s="62"/>
      <c r="E33" s="62"/>
      <c r="F33" s="62"/>
    </row>
    <row r="34">
      <c r="A34" s="262" t="s">
        <v>71</v>
      </c>
      <c r="B34" s="62" t="str">
        <f>IFERROR(__xludf.DUMMYFUNCTION("IFERROR(SPLIT(INDEX('1. ESRS Topic Overview'!$D$5:$D1004, MATCH($A34,'1. ESRS Topic Overview'!$C$5:$C1004,0)),"";""),"""")"),"Adequate housing")</f>
        <v>Adequate housing</v>
      </c>
      <c r="C34" s="62" t="str">
        <f>IFERROR(__xludf.DUMMYFUNCTION("""COMPUTED_VALUE""")," Adequate food")</f>
        <v> Adequate food</v>
      </c>
      <c r="D34" s="62" t="str">
        <f>IFERROR(__xludf.DUMMYFUNCTION("""COMPUTED_VALUE""")," Water and sanitation")</f>
        <v> Water and sanitation</v>
      </c>
      <c r="E34" s="62" t="str">
        <f>IFERROR(__xludf.DUMMYFUNCTION("""COMPUTED_VALUE""")," Land-related impacts")</f>
        <v> Land-related impacts</v>
      </c>
      <c r="F34" s="62" t="str">
        <f>IFERROR(__xludf.DUMMYFUNCTION("""COMPUTED_VALUE""")," Security-related impacts")</f>
        <v> Security-related impacts</v>
      </c>
    </row>
    <row r="35">
      <c r="A35" s="262" t="s">
        <v>73</v>
      </c>
      <c r="B35" s="62" t="str">
        <f>IFERROR(__xludf.DUMMYFUNCTION("IFERROR(SPLIT(INDEX('1. ESRS Topic Overview'!$D$5:$D1004, MATCH($A35,'1. ESRS Topic Overview'!$C$5:$C1004,0)),"";""),"""")"),"Freedom of expression")</f>
        <v>Freedom of expression</v>
      </c>
      <c r="C35" s="62" t="str">
        <f>IFERROR(__xludf.DUMMYFUNCTION("""COMPUTED_VALUE""")," Freedom of assembly")</f>
        <v> Freedom of assembly</v>
      </c>
      <c r="D35" s="62" t="str">
        <f>IFERROR(__xludf.DUMMYFUNCTION("""COMPUTED_VALUE""")," Impacts on human rights defenders")</f>
        <v> Impacts on human rights defenders</v>
      </c>
      <c r="E35" s="62"/>
      <c r="F35" s="62"/>
    </row>
    <row r="36">
      <c r="A36" s="262" t="s">
        <v>75</v>
      </c>
      <c r="B36" s="62" t="str">
        <f>IFERROR(__xludf.DUMMYFUNCTION("IFERROR(SPLIT(INDEX('1. ESRS Topic Overview'!$D$5:$D1004, MATCH($A36,'1. ESRS Topic Overview'!$C$5:$C1004,0)),"";""),"""")"),"Free, prior and informed consent")</f>
        <v>Free, prior and informed consent</v>
      </c>
      <c r="C36" s="62" t="str">
        <f>IFERROR(__xludf.DUMMYFUNCTION("""COMPUTED_VALUE""")," Self-determination")</f>
        <v> Self-determination</v>
      </c>
      <c r="D36" s="62" t="str">
        <f>IFERROR(__xludf.DUMMYFUNCTION("""COMPUTED_VALUE""")," Cultural rights")</f>
        <v> Cultural rights</v>
      </c>
      <c r="E36" s="62"/>
      <c r="F36" s="62"/>
    </row>
    <row r="37">
      <c r="A37" s="262" t="s">
        <v>201</v>
      </c>
      <c r="B37" s="62" t="str">
        <f>IFERROR(__xludf.DUMMYFUNCTION("IFERROR(SPLIT(INDEX('1. ESRS Topic Overview'!$D$5:$D1004, MATCH($A37,'1. ESRS Topic Overview'!$C$5:$C1004,0)),"";""),"""")"),"")</f>
        <v/>
      </c>
      <c r="C37" s="62"/>
      <c r="D37" s="62"/>
      <c r="E37" s="62"/>
      <c r="F37" s="62"/>
    </row>
    <row r="38">
      <c r="A38" s="262" t="s">
        <v>78</v>
      </c>
      <c r="B38" s="62" t="str">
        <f>IFERROR(__xludf.DUMMYFUNCTION("IFERROR(SPLIT(INDEX('1. ESRS Topic Overview'!$D$5:$D1004, MATCH($A38,'1. ESRS Topic Overview'!$C$5:$C1004,0)),"";""),"""")"),"Privacy")</f>
        <v>Privacy</v>
      </c>
      <c r="C38" s="62" t="str">
        <f>IFERROR(__xludf.DUMMYFUNCTION("""COMPUTED_VALUE""")," Freedom of expression")</f>
        <v> Freedom of expression</v>
      </c>
      <c r="D38" s="62" t="str">
        <f>IFERROR(__xludf.DUMMYFUNCTION("""COMPUTED_VALUE""")," Access to (quality) information")</f>
        <v> Access to (quality) information</v>
      </c>
      <c r="E38" s="62"/>
      <c r="F38" s="62"/>
    </row>
    <row r="39">
      <c r="A39" s="262" t="s">
        <v>80</v>
      </c>
      <c r="B39" s="62" t="str">
        <f>IFERROR(__xludf.DUMMYFUNCTION("IFERROR(SPLIT(INDEX('1. ESRS Topic Overview'!$D$5:$D1004, MATCH($A39,'1. ESRS Topic Overview'!$C$5:$C1004,0)),"";""),"""")"),"Health and safety")</f>
        <v>Health and safety</v>
      </c>
      <c r="C39" s="62" t="str">
        <f>IFERROR(__xludf.DUMMYFUNCTION("""COMPUTED_VALUE""")," Security of a person")</f>
        <v> Security of a person</v>
      </c>
      <c r="D39" s="62" t="str">
        <f>IFERROR(__xludf.DUMMYFUNCTION("""COMPUTED_VALUE""")," Protection of children")</f>
        <v> Protection of children</v>
      </c>
      <c r="E39" s="62"/>
      <c r="F39" s="62"/>
    </row>
    <row r="40">
      <c r="A40" s="262" t="s">
        <v>82</v>
      </c>
      <c r="B40" s="62" t="str">
        <f>IFERROR(__xludf.DUMMYFUNCTION("IFERROR(SPLIT(INDEX('1. ESRS Topic Overview'!$D$5:$D1004, MATCH($A40,'1. ESRS Topic Overview'!$C$5:$C1004,0)),"";""),"""")"),"Non-discrimination")</f>
        <v>Non-discrimination</v>
      </c>
      <c r="C40" s="62" t="str">
        <f>IFERROR(__xludf.DUMMYFUNCTION("""COMPUTED_VALUE""")," Access to products and services")</f>
        <v> Access to products and services</v>
      </c>
      <c r="D40" s="62" t="str">
        <f>IFERROR(__xludf.DUMMYFUNCTION("""COMPUTED_VALUE""")," Responsible marketing practices")</f>
        <v> Responsible marketing practices</v>
      </c>
      <c r="E40" s="62"/>
      <c r="F40" s="62"/>
    </row>
    <row r="41">
      <c r="A41" s="262" t="s">
        <v>211</v>
      </c>
      <c r="B41" s="62" t="str">
        <f>IFERROR(__xludf.DUMMYFUNCTION("IFERROR(SPLIT(INDEX('1. ESRS Topic Overview'!$D$5:$D1004, MATCH($A41,'1. ESRS Topic Overview'!$C$5:$C1004,0)),"";""),"""")"),"")</f>
        <v/>
      </c>
      <c r="C41" s="62"/>
      <c r="D41" s="62"/>
      <c r="E41" s="62"/>
      <c r="F41" s="62"/>
    </row>
    <row r="42">
      <c r="A42" s="262" t="s">
        <v>86</v>
      </c>
      <c r="B42" s="62" t="str">
        <f>IFERROR(__xludf.DUMMYFUNCTION("IFERROR(SPLIT(INDEX('1. ESRS Topic Overview'!$D$5:$D1004, MATCH($A42,'1. ESRS Topic Overview'!$C$5:$C1004,0)),"";""),"""")"),"Ethical leadership")</f>
        <v>Ethical leadership</v>
      </c>
      <c r="C42" s="62" t="str">
        <f>IFERROR(__xludf.DUMMYFUNCTION("""COMPUTED_VALUE""")," Diversity, equity, and inclusion (DEI)")</f>
        <v> Diversity, equity, and inclusion (DEI)</v>
      </c>
      <c r="D42" s="62" t="str">
        <f>IFERROR(__xludf.DUMMYFUNCTION("""COMPUTED_VALUE""")," Employee engagement")</f>
        <v> Employee engagement</v>
      </c>
      <c r="E42" s="62" t="str">
        <f>IFERROR(__xludf.DUMMYFUNCTION("""COMPUTED_VALUE""")," Organizational values")</f>
        <v> Organizational values</v>
      </c>
      <c r="F42" s="62"/>
    </row>
    <row r="43">
      <c r="A43" s="262" t="s">
        <v>88</v>
      </c>
      <c r="B43" s="62" t="str">
        <f>IFERROR(__xludf.DUMMYFUNCTION("IFERROR(SPLIT(INDEX('1. ESRS Topic Overview'!$D$5:$D1004, MATCH($A43,'1. ESRS Topic Overview'!$C$5:$C1004,0)),"";""),"""")"),"Ethical leadership")</f>
        <v>Ethical leadership</v>
      </c>
      <c r="C43" s="62" t="str">
        <f>IFERROR(__xludf.DUMMYFUNCTION("""COMPUTED_VALUE""")," Diversity, equity, and inclusion (DEI)")</f>
        <v> Diversity, equity, and inclusion (DEI)</v>
      </c>
      <c r="D43" s="62" t="str">
        <f>IFERROR(__xludf.DUMMYFUNCTION("""COMPUTED_VALUE""")," Employee engagement")</f>
        <v> Employee engagement</v>
      </c>
      <c r="E43" s="62" t="str">
        <f>IFERROR(__xludf.DUMMYFUNCTION("""COMPUTED_VALUE""")," Organizational values")</f>
        <v> Organizational values</v>
      </c>
      <c r="F43" s="62"/>
    </row>
    <row r="44">
      <c r="A44" s="262" t="s">
        <v>89</v>
      </c>
      <c r="B44" s="62" t="str">
        <f>IFERROR(__xludf.DUMMYFUNCTION("IFERROR(SPLIT(INDEX('1. ESRS Topic Overview'!$D$5:$D1004, MATCH($A44,'1. ESRS Topic Overview'!$C$5:$C1004,0)),"";""),"""")"),"Ethical sourcing of animal products")</f>
        <v>Ethical sourcing of animal products</v>
      </c>
      <c r="C44" s="62" t="str">
        <f>IFERROR(__xludf.DUMMYFUNCTION("""COMPUTED_VALUE""")," Testing alternatives")</f>
        <v> Testing alternatives</v>
      </c>
      <c r="D44" s="62" t="str">
        <f>IFERROR(__xludf.DUMMYFUNCTION("""COMPUTED_VALUE""")," Livestock welfare standards")</f>
        <v> Livestock welfare standards</v>
      </c>
      <c r="E44" s="62" t="str">
        <f>IFERROR(__xludf.DUMMYFUNCTION("""COMPUTED_VALUE""")," Wildlife protection")</f>
        <v> Wildlife protection</v>
      </c>
      <c r="F44" s="62"/>
    </row>
    <row r="45">
      <c r="A45" s="262" t="s">
        <v>91</v>
      </c>
      <c r="B45" s="62" t="str">
        <f>IFERROR(__xludf.DUMMYFUNCTION("IFERROR(SPLIT(INDEX('1. ESRS Topic Overview'!$D$5:$D1004, MATCH($A45,'1. ESRS Topic Overview'!$C$5:$C1004,0)),"";""),"""")"),"Lobbying transparency")</f>
        <v>Lobbying transparency</v>
      </c>
      <c r="C45" s="62" t="str">
        <f>IFERROR(__xludf.DUMMYFUNCTION("""COMPUTED_VALUE""")," Political donation policies")</f>
        <v> Political donation policies</v>
      </c>
      <c r="D45" s="62" t="str">
        <f>IFERROR(__xludf.DUMMYFUNCTION("""COMPUTED_VALUE""")," Government relations")</f>
        <v> Government relations</v>
      </c>
      <c r="E45" s="62" t="str">
        <f>IFERROR(__xludf.DUMMYFUNCTION("""COMPUTED_VALUE""")," Ethical advocacy practices")</f>
        <v> Ethical advocacy practices</v>
      </c>
      <c r="F45" s="62"/>
    </row>
    <row r="46">
      <c r="A46" s="262" t="s">
        <v>93</v>
      </c>
      <c r="B46" s="62" t="str">
        <f>IFERROR(__xludf.DUMMYFUNCTION("IFERROR(SPLIT(INDEX('1. ESRS Topic Overview'!$D$5:$D1004, MATCH($A46,'1. ESRS Topic Overview'!$C$5:$C1004,0)),"";""),"""")"),"Fair trade practices")</f>
        <v>Fair trade practices</v>
      </c>
      <c r="C46" s="62" t="str">
        <f>IFERROR(__xludf.DUMMYFUNCTION("""COMPUTED_VALUE""")," Supplier due diligence")</f>
        <v> Supplier due diligence</v>
      </c>
      <c r="D46" s="62" t="str">
        <f>IFERROR(__xludf.DUMMYFUNCTION("""COMPUTED_VALUE""")," Contract transparency")</f>
        <v> Contract transparency</v>
      </c>
      <c r="E46" s="62" t="str">
        <f>IFERROR(__xludf.DUMMYFUNCTION("""COMPUTED_VALUE""")," Payment term compliance")</f>
        <v> Payment term compliance</v>
      </c>
      <c r="F46" s="62"/>
    </row>
    <row r="47">
      <c r="A47" s="262" t="s">
        <v>95</v>
      </c>
      <c r="B47" s="62" t="str">
        <f>IFERROR(__xludf.DUMMYFUNCTION("IFERROR(SPLIT(INDEX('1. ESRS Topic Overview'!$D$5:$D1004, MATCH($A47,'1. ESRS Topic Overview'!$C$5:$C1004,0)),"";""),"""")"),"Prevention and detection including training")</f>
        <v>Prevention and detection including training</v>
      </c>
      <c r="C47" s="62" t="str">
        <f>IFERROR(__xludf.DUMMYFUNCTION("""COMPUTED_VALUE""")," Incidents")</f>
        <v> Incidents</v>
      </c>
      <c r="D47" s="62"/>
      <c r="E47" s="62"/>
      <c r="F47" s="62"/>
    </row>
    <row r="48">
      <c r="A48" s="62"/>
      <c r="B48" s="62" t="str">
        <f>IFERROR(__xludf.DUMMYFUNCTION("IFERROR(SPLIT(INDEX('1. ESRS Topic Overview'!$D$5:$D1004, MATCH($A48,'1. ESRS Topic Overview'!$C$5:$C1004,0)),"";""),"""")"),"")</f>
        <v/>
      </c>
      <c r="C48" s="62"/>
      <c r="D48" s="62"/>
      <c r="E48" s="62"/>
      <c r="F48" s="62"/>
    </row>
    <row r="49">
      <c r="A49" s="62"/>
      <c r="B49" s="62" t="str">
        <f>IFERROR(__xludf.DUMMYFUNCTION("IFERROR(SPLIT(INDEX('1. ESRS Topic Overview'!$D$5:$D1004, MATCH($A49,'1. ESRS Topic Overview'!$C$5:$C1004,0)),"";""),"""")"),"")</f>
        <v/>
      </c>
      <c r="C49" s="62"/>
      <c r="D49" s="62"/>
      <c r="E49" s="62"/>
      <c r="F49" s="62"/>
    </row>
    <row r="50">
      <c r="A50" s="62"/>
      <c r="B50" s="62" t="str">
        <f>IFERROR(__xludf.DUMMYFUNCTION("IFERROR(SPLIT(INDEX('1. ESRS Topic Overview'!$D$5:$D1004, MATCH($A50,'1. ESRS Topic Overview'!$C$5:$C1004,0)),"";""),"""")"),"")</f>
        <v/>
      </c>
      <c r="C50" s="62"/>
      <c r="D50" s="62"/>
      <c r="E50" s="62"/>
      <c r="F50" s="62"/>
    </row>
    <row r="51">
      <c r="A51" s="62"/>
      <c r="B51" s="62"/>
      <c r="C51" s="62"/>
      <c r="D51" s="62"/>
      <c r="E51" s="62"/>
      <c r="F51" s="62"/>
    </row>
    <row r="52">
      <c r="A52" s="62"/>
      <c r="B52" s="62"/>
      <c r="C52" s="62"/>
      <c r="D52" s="62"/>
      <c r="E52" s="62"/>
      <c r="F52" s="62"/>
    </row>
    <row r="53">
      <c r="A53" s="62"/>
      <c r="B53" s="62"/>
      <c r="C53" s="62"/>
      <c r="D53" s="62"/>
      <c r="E53" s="62"/>
      <c r="F53" s="62"/>
    </row>
    <row r="54">
      <c r="A54" s="62"/>
      <c r="B54" s="62"/>
      <c r="C54" s="62"/>
      <c r="D54" s="62"/>
      <c r="E54" s="62"/>
      <c r="F54" s="62"/>
    </row>
    <row r="55">
      <c r="A55" s="62"/>
      <c r="B55" s="62"/>
      <c r="C55" s="62"/>
      <c r="D55" s="62"/>
      <c r="E55" s="62"/>
      <c r="F55" s="62"/>
    </row>
    <row r="56">
      <c r="A56" s="62"/>
      <c r="B56" s="62"/>
      <c r="C56" s="62"/>
      <c r="D56" s="62"/>
      <c r="E56" s="62"/>
      <c r="F56" s="62"/>
    </row>
    <row r="57">
      <c r="A57" s="62"/>
      <c r="B57" s="62"/>
      <c r="C57" s="62"/>
      <c r="D57" s="62"/>
      <c r="E57" s="62"/>
      <c r="F57" s="62"/>
    </row>
    <row r="58">
      <c r="A58" s="62"/>
      <c r="B58" s="62"/>
      <c r="C58" s="62"/>
      <c r="D58" s="62"/>
      <c r="E58" s="62"/>
      <c r="F58" s="62"/>
    </row>
    <row r="59">
      <c r="A59" s="62"/>
      <c r="B59" s="62"/>
      <c r="C59" s="62"/>
      <c r="D59" s="62"/>
      <c r="E59" s="62"/>
      <c r="F59" s="62"/>
    </row>
    <row r="60">
      <c r="A60" s="62"/>
      <c r="B60" s="62"/>
      <c r="C60" s="62"/>
      <c r="D60" s="62"/>
      <c r="E60" s="62"/>
      <c r="F60" s="62"/>
    </row>
    <row r="61">
      <c r="A61" s="62"/>
      <c r="B61" s="62"/>
      <c r="C61" s="62"/>
      <c r="D61" s="62"/>
      <c r="E61" s="62"/>
      <c r="F61" s="62"/>
    </row>
    <row r="62">
      <c r="A62" s="62"/>
      <c r="B62" s="62"/>
      <c r="C62" s="62"/>
      <c r="D62" s="62"/>
      <c r="E62" s="62"/>
      <c r="F62" s="62"/>
    </row>
    <row r="63">
      <c r="A63" s="62"/>
      <c r="B63" s="62"/>
      <c r="C63" s="62"/>
      <c r="D63" s="62"/>
      <c r="E63" s="62"/>
      <c r="F63" s="62"/>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14"/>
    <col customWidth="1" min="2" max="2" width="41.43"/>
    <col customWidth="1" min="3" max="3" width="11.43"/>
    <col customWidth="1" min="4" max="4" width="36.57"/>
    <col customWidth="1" min="5" max="26" width="11.43"/>
  </cols>
  <sheetData>
    <row r="1" ht="14.25" customHeight="1">
      <c r="A1" s="263" t="s">
        <v>270</v>
      </c>
      <c r="B1" s="264"/>
      <c r="C1" s="130"/>
      <c r="D1" s="265" t="s">
        <v>271</v>
      </c>
      <c r="E1" s="130"/>
      <c r="F1" s="130" t="s">
        <v>272</v>
      </c>
      <c r="G1" s="130" t="s">
        <v>273</v>
      </c>
      <c r="H1" s="130"/>
      <c r="I1" s="130" t="s">
        <v>274</v>
      </c>
      <c r="J1" s="130"/>
      <c r="K1" s="130" t="s">
        <v>274</v>
      </c>
      <c r="L1" s="130"/>
      <c r="M1" s="130"/>
      <c r="N1" s="130"/>
      <c r="O1" s="130"/>
      <c r="P1" s="130"/>
      <c r="Q1" s="130"/>
      <c r="R1" s="130"/>
      <c r="S1" s="130"/>
      <c r="T1" s="130"/>
      <c r="U1" s="130"/>
      <c r="V1" s="130"/>
      <c r="W1" s="130"/>
      <c r="X1" s="130"/>
      <c r="Y1" s="130"/>
      <c r="Z1" s="130"/>
    </row>
    <row r="2" ht="14.25" customHeight="1">
      <c r="A2" s="266" t="s">
        <v>275</v>
      </c>
      <c r="B2" s="266" t="s">
        <v>276</v>
      </c>
      <c r="C2" s="130"/>
      <c r="D2" s="266">
        <v>0.1</v>
      </c>
      <c r="E2" s="130"/>
      <c r="F2" s="130" t="s">
        <v>277</v>
      </c>
      <c r="G2" s="130" t="s">
        <v>278</v>
      </c>
      <c r="H2" s="130"/>
      <c r="I2" s="130">
        <v>1.0</v>
      </c>
      <c r="J2" s="130" t="s">
        <v>277</v>
      </c>
      <c r="K2" s="130">
        <v>1.0</v>
      </c>
      <c r="L2" s="130">
        <v>1.0</v>
      </c>
      <c r="M2" s="130"/>
      <c r="N2" s="130"/>
      <c r="O2" s="130"/>
      <c r="P2" s="130"/>
      <c r="Q2" s="130"/>
      <c r="R2" s="130"/>
      <c r="S2" s="130"/>
      <c r="T2" s="130"/>
      <c r="U2" s="130"/>
      <c r="V2" s="130"/>
      <c r="W2" s="130"/>
      <c r="X2" s="130"/>
      <c r="Y2" s="130"/>
      <c r="Z2" s="130"/>
    </row>
    <row r="3" ht="14.25" customHeight="1">
      <c r="A3" s="266" t="s">
        <v>279</v>
      </c>
      <c r="B3" s="266">
        <v>0.0</v>
      </c>
      <c r="C3" s="130"/>
      <c r="D3" s="266">
        <v>0.2</v>
      </c>
      <c r="E3" s="130"/>
      <c r="F3" s="130" t="s">
        <v>280</v>
      </c>
      <c r="G3" s="130" t="s">
        <v>281</v>
      </c>
      <c r="H3" s="130"/>
      <c r="I3" s="130">
        <v>3.0</v>
      </c>
      <c r="J3" s="130" t="s">
        <v>280</v>
      </c>
      <c r="K3" s="130">
        <v>5.0</v>
      </c>
      <c r="L3" s="130">
        <v>2.0</v>
      </c>
      <c r="M3" s="130"/>
      <c r="N3" s="130"/>
      <c r="O3" s="130"/>
      <c r="P3" s="130"/>
      <c r="Q3" s="130"/>
      <c r="R3" s="130"/>
      <c r="S3" s="130"/>
      <c r="T3" s="130"/>
      <c r="U3" s="130"/>
      <c r="V3" s="130"/>
      <c r="W3" s="130"/>
      <c r="X3" s="130"/>
      <c r="Y3" s="130"/>
      <c r="Z3" s="130"/>
    </row>
    <row r="4" ht="14.25" customHeight="1">
      <c r="A4" s="266" t="s">
        <v>243</v>
      </c>
      <c r="B4" s="266">
        <v>1.0</v>
      </c>
      <c r="C4" s="130"/>
      <c r="D4" s="266">
        <v>0.3</v>
      </c>
      <c r="E4" s="130"/>
      <c r="F4" s="130" t="s">
        <v>282</v>
      </c>
      <c r="G4" s="130" t="s">
        <v>283</v>
      </c>
      <c r="H4" s="130"/>
      <c r="I4" s="130">
        <v>5.0</v>
      </c>
      <c r="J4" s="130" t="s">
        <v>282</v>
      </c>
      <c r="K4" s="130">
        <v>10.0</v>
      </c>
      <c r="L4" s="130">
        <v>3.0</v>
      </c>
      <c r="M4" s="130"/>
      <c r="N4" s="130"/>
      <c r="O4" s="130"/>
      <c r="P4" s="130"/>
      <c r="Q4" s="130"/>
      <c r="R4" s="130"/>
      <c r="S4" s="130"/>
      <c r="T4" s="130"/>
      <c r="U4" s="130"/>
      <c r="V4" s="130"/>
      <c r="W4" s="130"/>
      <c r="X4" s="130"/>
      <c r="Y4" s="130"/>
      <c r="Z4" s="130"/>
    </row>
    <row r="5" ht="14.25" customHeight="1">
      <c r="A5" s="266" t="s">
        <v>246</v>
      </c>
      <c r="B5" s="266">
        <v>2.0</v>
      </c>
      <c r="C5" s="130"/>
      <c r="D5" s="266">
        <v>0.4</v>
      </c>
      <c r="E5" s="130"/>
      <c r="F5" s="130"/>
      <c r="G5" s="130" t="s">
        <v>284</v>
      </c>
      <c r="H5" s="130"/>
      <c r="I5" s="130"/>
      <c r="J5" s="130"/>
      <c r="K5" s="130"/>
      <c r="L5" s="130"/>
      <c r="M5" s="130"/>
      <c r="N5" s="130"/>
      <c r="O5" s="130"/>
      <c r="P5" s="130"/>
      <c r="Q5" s="130"/>
      <c r="R5" s="130"/>
      <c r="S5" s="130"/>
      <c r="T5" s="130"/>
      <c r="U5" s="130"/>
      <c r="V5" s="130"/>
      <c r="W5" s="130"/>
      <c r="X5" s="130"/>
      <c r="Y5" s="130"/>
      <c r="Z5" s="130"/>
    </row>
    <row r="6" ht="14.25" customHeight="1">
      <c r="A6" s="266" t="s">
        <v>244</v>
      </c>
      <c r="B6" s="266">
        <v>3.0</v>
      </c>
      <c r="C6" s="130"/>
      <c r="D6" s="266">
        <v>0.5</v>
      </c>
      <c r="E6" s="130"/>
      <c r="F6" s="130"/>
      <c r="G6" s="130"/>
      <c r="H6" s="130"/>
      <c r="I6" s="130"/>
      <c r="J6" s="130"/>
      <c r="K6" s="130"/>
      <c r="L6" s="130"/>
      <c r="M6" s="130"/>
      <c r="N6" s="130"/>
      <c r="O6" s="130"/>
      <c r="P6" s="130"/>
      <c r="Q6" s="130"/>
      <c r="R6" s="130"/>
      <c r="S6" s="130"/>
      <c r="T6" s="130"/>
      <c r="U6" s="130"/>
      <c r="V6" s="130"/>
      <c r="W6" s="130"/>
      <c r="X6" s="130"/>
      <c r="Y6" s="130"/>
      <c r="Z6" s="130"/>
    </row>
    <row r="7" ht="14.25" customHeight="1">
      <c r="A7" s="266"/>
      <c r="B7" s="266"/>
      <c r="C7" s="130"/>
      <c r="D7" s="266">
        <v>0.6</v>
      </c>
      <c r="E7" s="130"/>
      <c r="F7" s="130"/>
      <c r="G7" s="130"/>
      <c r="H7" s="130"/>
      <c r="I7" s="130"/>
      <c r="J7" s="130"/>
      <c r="K7" s="130"/>
      <c r="L7" s="130"/>
      <c r="M7" s="130"/>
      <c r="N7" s="130"/>
      <c r="O7" s="130"/>
      <c r="P7" s="130"/>
      <c r="Q7" s="130"/>
      <c r="R7" s="130"/>
      <c r="S7" s="130"/>
      <c r="T7" s="130"/>
      <c r="U7" s="130"/>
      <c r="V7" s="130"/>
      <c r="W7" s="130"/>
      <c r="X7" s="130"/>
      <c r="Y7" s="130"/>
      <c r="Z7" s="130"/>
    </row>
    <row r="8" ht="14.25" customHeight="1">
      <c r="A8" s="266"/>
      <c r="B8" s="266"/>
      <c r="C8" s="130"/>
      <c r="D8" s="266">
        <v>0.7</v>
      </c>
      <c r="E8" s="130"/>
      <c r="F8" s="130"/>
      <c r="G8" s="130"/>
      <c r="H8" s="130"/>
      <c r="I8" s="130"/>
      <c r="J8" s="130"/>
      <c r="K8" s="130"/>
      <c r="L8" s="130"/>
      <c r="M8" s="130"/>
      <c r="N8" s="130"/>
      <c r="O8" s="130"/>
      <c r="P8" s="130"/>
      <c r="Q8" s="130"/>
      <c r="R8" s="130"/>
      <c r="S8" s="130"/>
      <c r="T8" s="130"/>
      <c r="U8" s="130"/>
      <c r="V8" s="130"/>
      <c r="W8" s="130"/>
      <c r="X8" s="130"/>
      <c r="Y8" s="130"/>
      <c r="Z8" s="130"/>
    </row>
    <row r="9" ht="14.25" customHeight="1">
      <c r="A9" s="130"/>
      <c r="B9" s="130"/>
      <c r="C9" s="130"/>
      <c r="D9" s="266">
        <v>0.8</v>
      </c>
      <c r="E9" s="130"/>
      <c r="F9" s="130"/>
      <c r="G9" s="130"/>
      <c r="H9" s="130"/>
      <c r="I9" s="130"/>
      <c r="J9" s="130"/>
      <c r="K9" s="130"/>
      <c r="L9" s="130"/>
      <c r="M9" s="130"/>
      <c r="N9" s="130"/>
      <c r="O9" s="130"/>
      <c r="P9" s="130"/>
      <c r="Q9" s="130"/>
      <c r="R9" s="130"/>
      <c r="S9" s="130"/>
      <c r="T9" s="130"/>
      <c r="U9" s="130"/>
      <c r="V9" s="130"/>
      <c r="W9" s="130"/>
      <c r="X9" s="130"/>
      <c r="Y9" s="130"/>
      <c r="Z9" s="130"/>
    </row>
    <row r="10" ht="14.25" customHeight="1">
      <c r="A10" s="130"/>
      <c r="B10" s="130"/>
      <c r="C10" s="130"/>
      <c r="D10" s="266">
        <v>0.9</v>
      </c>
      <c r="E10" s="130"/>
      <c r="F10" s="130"/>
      <c r="G10" s="130"/>
      <c r="H10" s="130"/>
      <c r="I10" s="130"/>
      <c r="J10" s="130"/>
      <c r="K10" s="130"/>
      <c r="L10" s="130"/>
      <c r="M10" s="130"/>
      <c r="N10" s="130"/>
      <c r="O10" s="130"/>
      <c r="P10" s="130"/>
      <c r="Q10" s="130"/>
      <c r="R10" s="130"/>
      <c r="S10" s="130"/>
      <c r="T10" s="130"/>
      <c r="U10" s="130"/>
      <c r="V10" s="130"/>
      <c r="W10" s="130"/>
      <c r="X10" s="130"/>
      <c r="Y10" s="130"/>
      <c r="Z10" s="130"/>
    </row>
    <row r="11" ht="14.25" customHeight="1">
      <c r="A11" s="130"/>
      <c r="B11" s="130"/>
      <c r="C11" s="130"/>
      <c r="D11" s="266">
        <v>1.0</v>
      </c>
      <c r="E11" s="130"/>
      <c r="F11" s="130"/>
      <c r="G11" s="130"/>
      <c r="H11" s="130"/>
      <c r="I11" s="130"/>
      <c r="J11" s="130"/>
      <c r="K11" s="130"/>
      <c r="L11" s="130"/>
      <c r="M11" s="130"/>
      <c r="N11" s="130"/>
      <c r="O11" s="130"/>
      <c r="P11" s="130"/>
      <c r="Q11" s="130"/>
      <c r="R11" s="130"/>
      <c r="S11" s="130"/>
      <c r="T11" s="130"/>
      <c r="U11" s="130"/>
      <c r="V11" s="130"/>
      <c r="W11" s="130"/>
      <c r="X11" s="130"/>
      <c r="Y11" s="130"/>
      <c r="Z11" s="130"/>
    </row>
    <row r="12" ht="14.25"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ht="14.25" customHeight="1">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row>
    <row r="14" ht="14.25" customHeight="1">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ht="14.25" customHeight="1">
      <c r="A15" s="263" t="s">
        <v>285</v>
      </c>
      <c r="B15" s="264"/>
      <c r="C15" s="130"/>
      <c r="D15" s="267" t="s">
        <v>286</v>
      </c>
      <c r="E15" s="130"/>
      <c r="F15" s="130"/>
      <c r="G15" s="130"/>
      <c r="H15" s="130"/>
      <c r="I15" s="130"/>
      <c r="J15" s="130"/>
      <c r="K15" s="130"/>
      <c r="L15" s="130"/>
      <c r="M15" s="130"/>
      <c r="N15" s="130"/>
      <c r="O15" s="130"/>
      <c r="P15" s="130"/>
      <c r="Q15" s="130"/>
      <c r="R15" s="130"/>
      <c r="S15" s="130"/>
      <c r="T15" s="130"/>
      <c r="U15" s="130"/>
      <c r="V15" s="130"/>
      <c r="W15" s="130"/>
      <c r="X15" s="130"/>
      <c r="Y15" s="130"/>
      <c r="Z15" s="130"/>
    </row>
    <row r="16" ht="14.25" customHeight="1">
      <c r="A16" s="268" t="s">
        <v>287</v>
      </c>
      <c r="B16" s="268" t="s">
        <v>288</v>
      </c>
      <c r="C16" s="130"/>
      <c r="D16" s="268" t="s">
        <v>242</v>
      </c>
      <c r="E16" s="130">
        <v>1.0</v>
      </c>
      <c r="F16" s="130" t="s">
        <v>289</v>
      </c>
      <c r="G16" s="130"/>
      <c r="H16" s="130"/>
      <c r="I16" s="130"/>
      <c r="J16" s="130"/>
      <c r="K16" s="130"/>
      <c r="L16" s="130"/>
      <c r="M16" s="130"/>
      <c r="N16" s="130"/>
      <c r="O16" s="130"/>
      <c r="P16" s="130"/>
      <c r="Q16" s="130"/>
      <c r="R16" s="130"/>
      <c r="S16" s="130"/>
      <c r="T16" s="130"/>
      <c r="U16" s="130"/>
      <c r="V16" s="130"/>
      <c r="W16" s="130"/>
      <c r="X16" s="130"/>
      <c r="Y16" s="130"/>
      <c r="Z16" s="130"/>
    </row>
    <row r="17" ht="14.25" customHeight="1">
      <c r="A17" s="266" t="s">
        <v>279</v>
      </c>
      <c r="B17" s="266">
        <v>1.0</v>
      </c>
      <c r="C17" s="130"/>
      <c r="D17" s="266" t="s">
        <v>247</v>
      </c>
      <c r="E17" s="130">
        <v>1.0</v>
      </c>
      <c r="F17" s="130"/>
      <c r="G17" s="130"/>
      <c r="H17" s="130"/>
      <c r="I17" s="130"/>
      <c r="J17" s="130"/>
      <c r="K17" s="130"/>
      <c r="L17" s="130"/>
      <c r="M17" s="130"/>
      <c r="N17" s="130"/>
      <c r="O17" s="130"/>
      <c r="P17" s="130"/>
      <c r="Q17" s="130"/>
      <c r="R17" s="130"/>
      <c r="S17" s="130"/>
      <c r="T17" s="130"/>
      <c r="U17" s="130"/>
      <c r="V17" s="130"/>
      <c r="W17" s="130"/>
      <c r="X17" s="130"/>
      <c r="Y17" s="130"/>
      <c r="Z17" s="130"/>
    </row>
    <row r="18" ht="14.25" customHeight="1">
      <c r="A18" s="266" t="s">
        <v>255</v>
      </c>
      <c r="B18" s="266">
        <v>2.0</v>
      </c>
      <c r="C18" s="130"/>
      <c r="D18" s="266" t="s">
        <v>245</v>
      </c>
      <c r="E18" s="130"/>
      <c r="F18" s="130"/>
      <c r="G18" s="130"/>
      <c r="H18" s="130"/>
      <c r="I18" s="130"/>
      <c r="J18" s="130"/>
      <c r="K18" s="130"/>
      <c r="L18" s="130"/>
      <c r="M18" s="130"/>
      <c r="N18" s="130"/>
      <c r="O18" s="130"/>
      <c r="P18" s="130"/>
      <c r="Q18" s="130"/>
      <c r="R18" s="130"/>
      <c r="S18" s="130"/>
      <c r="T18" s="130"/>
      <c r="U18" s="130"/>
      <c r="V18" s="130"/>
      <c r="W18" s="130"/>
      <c r="X18" s="130"/>
      <c r="Y18" s="130"/>
      <c r="Z18" s="130"/>
    </row>
    <row r="19" ht="14.25" customHeight="1">
      <c r="A19" s="266" t="s">
        <v>256</v>
      </c>
      <c r="B19" s="266">
        <v>3.0</v>
      </c>
      <c r="C19" s="130"/>
      <c r="D19" s="266" t="s">
        <v>248</v>
      </c>
      <c r="E19" s="130"/>
      <c r="F19" s="130"/>
      <c r="G19" s="130"/>
      <c r="H19" s="130"/>
      <c r="I19" s="130"/>
      <c r="J19" s="130"/>
      <c r="K19" s="130"/>
      <c r="L19" s="130"/>
      <c r="M19" s="130"/>
      <c r="N19" s="130"/>
      <c r="O19" s="130"/>
      <c r="P19" s="130"/>
      <c r="Q19" s="130"/>
      <c r="R19" s="130"/>
      <c r="S19" s="130"/>
      <c r="T19" s="130"/>
      <c r="U19" s="130"/>
      <c r="V19" s="130"/>
      <c r="W19" s="130"/>
      <c r="X19" s="130"/>
      <c r="Y19" s="130"/>
      <c r="Z19" s="130"/>
    </row>
    <row r="20" ht="14.25" customHeight="1">
      <c r="A20" s="266" t="s">
        <v>253</v>
      </c>
      <c r="B20" s="266">
        <v>4.0</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ht="14.25" customHeight="1">
      <c r="A21" s="266" t="s">
        <v>254</v>
      </c>
      <c r="B21" s="266">
        <v>5.0</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ht="14.25" customHeight="1">
      <c r="A22" s="266" t="s">
        <v>259</v>
      </c>
      <c r="B22" s="266">
        <v>6.0</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ht="14.25" customHeight="1">
      <c r="A23" s="266" t="s">
        <v>260</v>
      </c>
      <c r="B23" s="266">
        <v>7.0</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ht="14.25" customHeight="1">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ht="14.2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ht="14.2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row r="27" ht="14.25" customHeight="1">
      <c r="A27" s="263" t="s">
        <v>290</v>
      </c>
      <c r="B27" s="264"/>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ht="14.25" customHeight="1">
      <c r="A28" s="268" t="s">
        <v>287</v>
      </c>
      <c r="B28" s="268" t="s">
        <v>288</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ht="14.25" customHeight="1">
      <c r="A29" s="266" t="s">
        <v>279</v>
      </c>
      <c r="B29" s="266">
        <v>1.0</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ht="14.25" customHeight="1">
      <c r="A30" s="266" t="s">
        <v>258</v>
      </c>
      <c r="B30" s="266">
        <v>2.0</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ht="14.25" customHeight="1">
      <c r="A31" s="266" t="s">
        <v>243</v>
      </c>
      <c r="B31" s="266">
        <v>3.0</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ht="14.25" customHeight="1">
      <c r="A32" s="266" t="s">
        <v>257</v>
      </c>
      <c r="B32" s="266">
        <v>4.0</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ht="14.25" customHeight="1">
      <c r="A33" s="266" t="s">
        <v>246</v>
      </c>
      <c r="B33" s="266">
        <v>5.0</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ht="14.25" customHeight="1">
      <c r="A34" s="266" t="s">
        <v>244</v>
      </c>
      <c r="B34" s="266">
        <v>6.0</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ht="14.25" customHeight="1">
      <c r="A35" s="266" t="s">
        <v>291</v>
      </c>
      <c r="B35" s="266">
        <v>7.0</v>
      </c>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ht="14.25"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ht="14.25" customHeight="1">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ht="14.25" customHeight="1">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ht="14.25"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ht="14.25"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ht="14.25" customHeight="1">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ht="14.2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ht="14.2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ht="14.2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ht="14.2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ht="14.2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ht="14.2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ht="14.2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ht="14.2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ht="14.2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ht="14.2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ht="14.2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ht="14.2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ht="14.2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ht="14.2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ht="14.2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ht="14.2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ht="14.2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ht="14.2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ht="14.2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ht="14.2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ht="14.2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ht="14.2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ht="14.2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ht="14.2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ht="14.2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ht="14.2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ht="14.2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ht="14.2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ht="14.2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ht="14.2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ht="14.2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ht="14.2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ht="14.2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ht="14.2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ht="14.2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ht="14.25"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ht="14.25"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ht="14.25"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ht="14.25" customHeight="1">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ht="14.25"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ht="14.25" customHeight="1">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ht="14.25" customHeight="1">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ht="14.25" customHeight="1">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ht="14.2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ht="14.2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ht="14.25" customHeight="1">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ht="14.2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ht="14.2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ht="14.2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ht="14.25" customHeight="1">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ht="14.25" customHeight="1">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ht="14.25" customHeight="1">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ht="14.25" customHeight="1">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ht="14.25" customHeight="1">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ht="14.25" customHeight="1">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ht="14.25" customHeight="1">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ht="14.25" customHeight="1">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ht="14.25" customHeight="1">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ht="14.25" customHeight="1">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ht="14.25" customHeight="1">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ht="14.25" customHeight="1">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ht="14.25" customHeight="1">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ht="14.2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ht="14.25" customHeight="1">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ht="14.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ht="14.25" customHeight="1">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ht="14.25" customHeight="1">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ht="14.25" customHeight="1">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ht="14.25" customHeight="1">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ht="14.25" customHeight="1">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ht="14.25" customHeight="1">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ht="14.25" customHeight="1">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ht="14.25"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ht="14.25" customHeight="1">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ht="14.25" customHeight="1">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ht="14.25" customHeight="1">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ht="14.25"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ht="14.25" customHeight="1">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ht="14.25" customHeight="1">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ht="14.25" customHeight="1">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ht="14.25" customHeight="1">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ht="14.25" customHeight="1">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ht="14.25" customHeight="1">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ht="14.25" customHeight="1">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ht="14.25" customHeight="1">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ht="14.25" customHeight="1">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ht="14.25" customHeight="1">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ht="14.25" customHeight="1">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ht="14.25" customHeight="1">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ht="14.25" customHeight="1">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ht="14.25" customHeight="1">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ht="14.25" customHeight="1">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ht="14.25" customHeight="1">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ht="14.2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ht="14.25" customHeight="1">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ht="14.25" customHeight="1">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ht="14.25" customHeight="1">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ht="14.25" customHeight="1">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ht="14.25" customHeight="1">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ht="14.25" customHeight="1">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ht="14.25" customHeight="1">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ht="14.25" customHeight="1">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ht="14.25" customHeight="1">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ht="14.25" customHeight="1">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ht="14.25" customHeight="1">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ht="14.25" customHeight="1">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ht="14.25" customHeight="1">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ht="14.25" customHeight="1">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ht="14.25" customHeight="1">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ht="14.25" customHeight="1">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ht="14.25" customHeight="1">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ht="14.25" customHeight="1">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ht="14.25" customHeight="1">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ht="14.25" customHeight="1">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ht="14.25" customHeight="1">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ht="14.25" customHeight="1">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ht="14.25" customHeight="1">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ht="14.25" customHeight="1">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ht="14.25" customHeight="1">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ht="14.25" customHeight="1">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ht="14.25" customHeight="1">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ht="14.25" customHeight="1">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ht="14.25" customHeight="1">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ht="14.25" customHeight="1">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ht="14.25" customHeight="1">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ht="14.25" customHeight="1">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ht="14.25" customHeight="1">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ht="14.25" customHeight="1">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ht="14.25" customHeight="1">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ht="14.25" customHeight="1">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ht="14.25" customHeight="1">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ht="14.25" customHeight="1">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ht="14.25" customHeight="1">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ht="14.25" customHeight="1">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ht="14.25" customHeight="1">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ht="14.25" customHeight="1">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ht="14.25" customHeight="1">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ht="14.25" customHeight="1">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ht="14.25" customHeight="1">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ht="14.25" customHeight="1">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ht="14.25"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ht="14.25" customHeight="1">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ht="14.25" customHeight="1">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ht="14.25" customHeight="1">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ht="14.25" customHeight="1">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ht="14.25" customHeight="1">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ht="14.25" customHeight="1">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ht="14.25" customHeight="1">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ht="14.25" customHeight="1">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ht="14.25" customHeight="1">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ht="14.25" customHeight="1">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ht="14.25" customHeight="1">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ht="14.25" customHeight="1">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ht="14.25" customHeight="1">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ht="14.25" customHeight="1">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ht="14.25" customHeight="1">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ht="14.25" customHeight="1">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ht="14.25" customHeight="1">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ht="14.25" customHeight="1">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ht="14.25" customHeight="1">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ht="14.25" customHeight="1">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ht="14.25" customHeight="1">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ht="14.2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ht="14.25" customHeight="1">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ht="14.25" customHeight="1">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ht="14.25" customHeight="1">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ht="14.25" customHeight="1">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ht="14.25" customHeight="1">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ht="14.25" customHeight="1">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ht="14.25" customHeight="1">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ht="14.25" customHeight="1">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ht="14.25" customHeight="1">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ht="14.2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ht="14.25" customHeight="1">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ht="14.25" customHeight="1">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ht="14.25" customHeight="1">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ht="14.25" customHeight="1">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ht="14.25" customHeight="1">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ht="14.25" customHeight="1">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ht="14.25" customHeight="1">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ht="14.25" customHeight="1">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ht="14.25" customHeight="1">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ht="14.25" customHeight="1">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ht="14.25" customHeight="1">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ht="14.25" customHeight="1">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ht="14.25" customHeight="1">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ht="14.25" customHeight="1">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ht="14.25" customHeight="1">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ht="14.25" customHeight="1">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ht="14.25" customHeight="1">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ht="14.25" customHeight="1">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ht="14.25" customHeight="1">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ht="14.25" customHeight="1">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ht="14.25" customHeight="1">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ht="14.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ht="14.25" customHeight="1">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ht="14.25" customHeight="1">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ht="14.25" customHeight="1">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ht="14.25" customHeight="1">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ht="14.25" customHeight="1">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ht="14.25" customHeight="1">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ht="14.25" customHeight="1">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ht="14.25" customHeight="1">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ht="14.2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ht="14.25" customHeight="1">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ht="14.25" customHeight="1">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ht="14.25" customHeight="1">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ht="14.25" customHeight="1">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ht="14.25" customHeight="1">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ht="14.25" customHeight="1">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ht="14.25" customHeight="1">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ht="14.25" customHeight="1">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ht="14.2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ht="14.2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ht="14.25" customHeight="1">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ht="14.25" customHeight="1">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ht="14.25" customHeight="1">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ht="14.25" customHeight="1">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ht="14.25" customHeight="1">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ht="14.25" customHeight="1">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ht="14.25" customHeight="1">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ht="14.25" customHeight="1">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ht="14.25" customHeight="1">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ht="14.25" customHeight="1">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ht="14.25" customHeight="1">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ht="14.2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ht="14.2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ht="14.2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ht="14.25" customHeight="1">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ht="14.2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ht="14.25" customHeight="1">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ht="14.25" customHeight="1">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ht="14.2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ht="14.2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ht="14.2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ht="14.25" customHeight="1">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ht="14.25" customHeight="1">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ht="14.2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ht="14.25" customHeight="1">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ht="14.2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ht="14.2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ht="14.2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ht="14.25" customHeight="1">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ht="14.25" customHeight="1">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ht="14.25" customHeight="1">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ht="14.2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ht="14.25" customHeight="1">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ht="14.25" customHeight="1">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ht="14.25" customHeight="1">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ht="14.25" customHeight="1">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ht="14.25" customHeight="1">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ht="14.2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ht="14.2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ht="14.2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ht="14.2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ht="14.2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ht="14.2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ht="14.2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ht="14.2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ht="14.2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ht="14.2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ht="14.2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ht="14.2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ht="14.2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ht="14.2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ht="14.2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ht="14.2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ht="14.2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ht="14.2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ht="14.2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ht="14.2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ht="14.2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ht="14.2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ht="14.2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ht="14.2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ht="14.2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ht="14.2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ht="14.2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ht="14.2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ht="14.2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ht="14.2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ht="14.2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ht="14.2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ht="14.2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ht="14.2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ht="14.2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ht="14.2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ht="14.2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ht="14.2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ht="14.2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ht="14.2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ht="14.2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ht="14.2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ht="14.2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ht="14.2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ht="14.2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ht="14.2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ht="14.2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ht="14.2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ht="14.2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ht="14.2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ht="14.2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ht="14.2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ht="14.2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ht="14.2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ht="14.2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ht="14.2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ht="14.2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ht="14.2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ht="14.2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ht="14.2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ht="14.2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ht="14.2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ht="14.2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ht="14.2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ht="14.2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ht="14.2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ht="14.2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ht="14.2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ht="14.2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ht="14.2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ht="14.2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ht="14.2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ht="14.2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ht="14.2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ht="14.2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ht="14.2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ht="14.2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ht="14.2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ht="14.2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ht="14.2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ht="14.2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ht="14.2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ht="14.2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ht="14.2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ht="14.2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ht="14.2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ht="14.2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ht="14.2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ht="14.2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ht="14.2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ht="14.2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ht="14.2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ht="14.2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ht="14.2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ht="14.2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ht="14.2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ht="14.2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ht="14.2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ht="14.2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ht="14.2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ht="14.2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ht="14.2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ht="14.2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ht="14.2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ht="14.2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ht="14.2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ht="14.2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ht="14.2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ht="14.2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ht="14.2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ht="14.2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ht="14.2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ht="14.2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ht="14.2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ht="14.2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ht="14.2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ht="14.2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ht="14.2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ht="14.2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ht="14.2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ht="14.2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ht="14.2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ht="14.2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ht="14.2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ht="14.2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ht="14.2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ht="14.2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ht="14.2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ht="14.2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ht="14.2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ht="14.2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ht="14.2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ht="14.2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ht="14.2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ht="14.2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ht="14.2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ht="14.2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ht="14.2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ht="14.2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ht="14.2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ht="14.2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ht="14.2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ht="14.2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ht="14.2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ht="14.2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ht="14.2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ht="14.2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ht="14.2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ht="14.2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ht="14.2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ht="14.2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ht="14.2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ht="14.2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ht="14.2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ht="14.2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ht="14.2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ht="14.2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ht="14.2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ht="14.2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ht="14.2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ht="14.2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ht="14.2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ht="14.2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ht="14.2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ht="14.2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ht="14.2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ht="14.2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ht="14.2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ht="14.2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ht="14.2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ht="14.2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ht="14.2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ht="14.2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ht="14.2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ht="14.2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ht="14.2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ht="14.2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ht="14.2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ht="14.2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ht="14.2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ht="14.2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ht="14.2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ht="14.2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ht="14.2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ht="14.2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ht="14.2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ht="14.2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ht="14.2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ht="14.2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ht="14.2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ht="14.2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ht="14.2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ht="14.2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ht="14.2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ht="14.2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ht="14.2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ht="14.2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ht="14.2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ht="14.2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ht="14.2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ht="14.2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ht="14.2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ht="14.2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ht="14.2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ht="14.2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ht="14.2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ht="14.2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ht="14.2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ht="14.2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ht="14.2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ht="14.2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ht="14.2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ht="14.2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ht="14.2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ht="14.2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ht="14.2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ht="14.2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ht="14.2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ht="14.2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ht="14.2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ht="14.2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ht="14.2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ht="14.2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ht="14.2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ht="14.2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ht="14.2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ht="14.2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ht="14.2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ht="14.2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ht="14.2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ht="14.2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ht="14.2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ht="14.2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ht="14.2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ht="14.2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ht="14.2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ht="14.2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ht="14.2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ht="14.2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ht="14.2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ht="14.2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ht="14.2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ht="14.2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ht="14.2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ht="14.2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ht="14.2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ht="14.2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ht="14.2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ht="14.2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ht="14.2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ht="14.2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ht="14.2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ht="14.2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ht="14.2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ht="14.2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ht="14.2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ht="14.2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ht="14.2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ht="14.2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ht="14.2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ht="14.2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ht="14.2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ht="14.2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ht="14.2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ht="14.2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ht="14.2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ht="14.2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ht="14.2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ht="14.2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ht="14.2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ht="14.2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ht="14.2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ht="14.2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ht="14.2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ht="14.2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ht="14.2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ht="14.2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ht="14.2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ht="14.2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ht="14.2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ht="14.2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ht="14.2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ht="14.2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ht="14.2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ht="14.2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ht="14.2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ht="14.2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ht="14.2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ht="14.2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ht="14.2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ht="14.2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ht="14.2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ht="14.2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ht="14.2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ht="14.2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ht="14.2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ht="14.2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ht="14.2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ht="14.2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ht="14.2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ht="14.2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ht="14.2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ht="14.2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ht="14.2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ht="14.2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ht="14.2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ht="14.2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ht="14.2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ht="14.2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ht="14.2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ht="14.2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ht="14.2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ht="14.2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ht="14.2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ht="14.2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ht="14.2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ht="14.2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ht="14.2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ht="14.2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ht="14.2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ht="14.2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ht="14.2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ht="14.2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ht="14.2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ht="14.2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ht="14.2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ht="14.2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ht="14.2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ht="14.2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ht="14.2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ht="14.2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ht="14.2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ht="14.2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ht="14.2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ht="14.2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ht="14.2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ht="14.2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ht="14.2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ht="14.2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ht="14.2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ht="14.2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ht="14.2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ht="14.2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ht="14.2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ht="14.2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ht="14.2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ht="14.2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ht="14.2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ht="14.2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ht="14.2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ht="14.2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ht="14.2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ht="14.2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ht="14.2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ht="14.2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ht="14.2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ht="14.2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ht="14.2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ht="14.2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ht="14.2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ht="14.2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ht="14.2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ht="14.2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ht="14.2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ht="14.2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ht="14.2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ht="14.2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ht="14.2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ht="14.2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ht="14.2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ht="14.2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ht="14.2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ht="14.2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ht="14.2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ht="14.2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ht="14.2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ht="14.2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ht="14.2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ht="14.2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ht="14.2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ht="14.2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ht="14.2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ht="14.2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ht="14.2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ht="14.2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ht="14.2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ht="14.2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ht="14.2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ht="14.2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ht="14.2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ht="14.2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ht="14.2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ht="14.2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ht="14.2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ht="14.2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ht="14.2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ht="14.2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ht="14.2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ht="14.2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ht="14.2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ht="14.2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ht="14.2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ht="14.2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ht="14.2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ht="14.2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ht="14.2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ht="14.2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ht="14.2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ht="14.2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ht="14.2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ht="14.2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ht="14.2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ht="14.2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ht="14.2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ht="14.2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ht="14.2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ht="14.2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ht="14.2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ht="14.2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ht="14.2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ht="14.2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ht="14.2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ht="14.2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ht="14.2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ht="14.2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ht="14.2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ht="14.2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ht="14.2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ht="14.2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ht="14.2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ht="14.2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ht="14.2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ht="14.2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ht="14.2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ht="14.2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ht="14.2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ht="14.2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ht="14.2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ht="14.2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ht="14.2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ht="14.2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ht="14.2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ht="14.2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ht="14.2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ht="14.2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ht="14.2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ht="14.2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ht="14.2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ht="14.2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ht="14.2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ht="14.2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ht="14.2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ht="14.2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ht="14.2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ht="14.2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ht="14.2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ht="14.2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ht="14.2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ht="14.2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ht="14.2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ht="14.2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ht="14.2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ht="14.2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ht="14.2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ht="14.2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ht="14.2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ht="14.2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ht="14.2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ht="14.2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ht="14.2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ht="14.2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ht="14.2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ht="14.2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ht="14.2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ht="14.2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ht="14.2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ht="14.2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ht="14.2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ht="14.2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ht="14.2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ht="14.2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ht="14.2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ht="14.2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ht="14.2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ht="14.2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ht="14.2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ht="14.2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ht="14.2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ht="14.2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ht="14.2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ht="14.2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ht="14.2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ht="14.2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ht="14.2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ht="14.2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ht="14.2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ht="14.2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ht="14.2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ht="14.2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ht="14.2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ht="14.2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ht="14.2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ht="14.2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ht="14.2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ht="14.2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ht="14.2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ht="14.2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ht="14.2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ht="14.2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ht="14.2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ht="14.2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ht="14.2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ht="14.2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ht="14.2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ht="14.2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ht="14.2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ht="14.2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ht="14.2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ht="14.2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ht="14.2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ht="14.2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ht="14.2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ht="14.2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ht="14.2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ht="14.2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ht="14.2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ht="14.2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ht="14.2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ht="14.2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ht="14.2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ht="14.2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ht="14.2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ht="14.2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ht="14.2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ht="14.2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ht="14.2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ht="14.2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ht="14.2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ht="14.2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ht="14.2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ht="14.2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ht="14.2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ht="14.2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ht="14.2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ht="14.2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ht="14.2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ht="14.2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ht="14.2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ht="14.2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ht="14.2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ht="14.2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ht="14.2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ht="14.2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ht="14.2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ht="14.2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ht="14.2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ht="14.2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ht="14.2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ht="14.2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ht="14.2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ht="14.2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ht="14.2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ht="14.2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ht="14.2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ht="14.2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ht="14.2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ht="14.2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ht="14.2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ht="14.2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ht="14.2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ht="14.2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ht="14.2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ht="14.2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ht="14.2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ht="14.2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ht="14.2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ht="14.2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ht="14.2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ht="14.2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ht="14.2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ht="14.2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ht="14.2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ht="14.2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ht="14.2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ht="14.2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ht="14.2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ht="14.2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ht="14.2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ht="14.2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ht="14.2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ht="14.2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ht="14.2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ht="14.2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ht="14.2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ht="14.2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ht="14.2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ht="14.2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ht="14.2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ht="14.2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ht="14.2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ht="14.2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ht="14.2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ht="14.2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ht="14.2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ht="14.2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ht="14.2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ht="14.2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ht="14.2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ht="14.2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ht="14.2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ht="14.2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ht="14.2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ht="14.2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ht="14.2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ht="14.2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ht="14.2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ht="14.2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ht="14.2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ht="14.2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ht="14.2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ht="14.2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ht="14.2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ht="14.2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ht="14.2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ht="14.2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ht="14.2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ht="14.2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ht="14.2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ht="14.2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ht="14.2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ht="14.2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ht="14.2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ht="14.2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ht="14.2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ht="14.2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ht="14.2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ht="14.2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ht="14.2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ht="14.2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ht="14.2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ht="14.2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ht="14.2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ht="14.2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ht="14.2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ht="14.2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ht="14.2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ht="14.2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ht="14.2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ht="14.2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ht="14.2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ht="14.2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ht="14.2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ht="14.2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ht="14.2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ht="14.2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ht="14.2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ht="14.2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ht="14.2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ht="14.2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ht="14.2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ht="14.2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ht="14.2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ht="14.2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ht="14.2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ht="14.2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ht="14.2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ht="14.2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ht="14.2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ht="14.2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ht="14.2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ht="14.2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ht="14.2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ht="14.2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ht="14.2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ht="14.2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ht="14.2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ht="14.2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ht="14.2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ht="14.2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ht="14.2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ht="14.2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ht="14.2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ht="14.2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ht="14.2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ht="14.2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ht="14.2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ht="14.2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ht="14.2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ht="14.2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ht="14.2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ht="14.2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ht="14.2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ht="14.2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ht="14.2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ht="14.2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ht="14.2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ht="14.2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ht="14.2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ht="14.2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ht="14.2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ht="14.2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ht="14.2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ht="14.2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ht="14.2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ht="14.2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ht="14.2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ht="14.2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ht="14.2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mergeCells count="3">
    <mergeCell ref="A1:B1"/>
    <mergeCell ref="A15:B15"/>
    <mergeCell ref="A27:B27"/>
  </mergeCells>
  <conditionalFormatting sqref="A4:A8 A18:A23">
    <cfRule type="containsText" dxfId="7" priority="1" operator="containsText" text="hoch">
      <formula>NOT(ISERROR(SEARCH(("hoch"),(A4))))</formula>
    </cfRule>
  </conditionalFormatting>
  <conditionalFormatting sqref="A4:A8 A18:A23">
    <cfRule type="containsText" dxfId="8" priority="2" operator="containsText" text="mittel">
      <formula>NOT(ISERROR(SEARCH(("mittel"),(A4))))</formula>
    </cfRule>
  </conditionalFormatting>
  <conditionalFormatting sqref="A4:A8 A18:A23">
    <cfRule type="containsText" dxfId="2" priority="3" operator="containsText" text="niedrig">
      <formula>NOT(ISERROR(SEARCH(("niedrig"),(A4))))</formula>
    </cfRule>
  </conditionalFormatting>
  <conditionalFormatting sqref="A30:A35">
    <cfRule type="containsText" dxfId="7" priority="4" operator="containsText" text="hoch">
      <formula>NOT(ISERROR(SEARCH(("hoch"),(A30))))</formula>
    </cfRule>
  </conditionalFormatting>
  <conditionalFormatting sqref="A30:A35">
    <cfRule type="containsText" dxfId="8" priority="5" operator="containsText" text="mittel">
      <formula>NOT(ISERROR(SEARCH(("mittel"),(A30))))</formula>
    </cfRule>
  </conditionalFormatting>
  <conditionalFormatting sqref="A30:A35">
    <cfRule type="containsText" dxfId="2" priority="6" operator="containsText" text="niedrig">
      <formula>NOT(ISERROR(SEARCH(("niedrig"),(A30))))</formula>
    </cfRule>
  </conditionalFormatting>
  <conditionalFormatting sqref="D18:D19">
    <cfRule type="containsText" dxfId="7" priority="7" operator="containsText" text="hoch">
      <formula>NOT(ISERROR(SEARCH(("hoch"),(D18))))</formula>
    </cfRule>
  </conditionalFormatting>
  <conditionalFormatting sqref="D18:D19">
    <cfRule type="containsText" dxfId="8" priority="8" operator="containsText" text="mittel">
      <formula>NOT(ISERROR(SEARCH(("mittel"),(D18))))</formula>
    </cfRule>
  </conditionalFormatting>
  <conditionalFormatting sqref="D18:D19">
    <cfRule type="containsText" dxfId="2" priority="9" operator="containsText" text="niedrig">
      <formula>NOT(ISERROR(SEARCH(("niedrig"),(D18))))</formula>
    </cfRule>
  </conditionalFormatting>
  <dataValidations>
    <dataValidation type="list" allowBlank="1" showErrorMessage="1" sqref="E18:E19">
      <formula1>$D$2:$D$10</formula1>
    </dataValidation>
  </dataValidations>
  <printOptions/>
  <pageMargins bottom="0.787401575" footer="0.0" header="0.0" left="0.7" right="0.7" top="0.787401575"/>
  <pageSetup orientation="landscape"/>
  <drawing r:id="rId1"/>
</worksheet>
</file>